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riano.batista\Desktop\Orçamentos PROTRATAR\"/>
    </mc:Choice>
  </mc:AlternateContent>
  <xr:revisionPtr revIDLastSave="162" documentId="13_ncr:1_{698CCA4B-0959-4F4E-897E-6B7C5C2B77BF}" xr6:coauthVersionLast="47" xr6:coauthVersionMax="47" xr10:uidLastSave="{256FEAEB-9DB5-4464-A55F-010A4794A373}"/>
  <bookViews>
    <workbookView xWindow="28680" yWindow="-120" windowWidth="29040" windowHeight="15720" tabRatio="944" firstSheet="10" activeTab="10" xr2:uid="{00000000-000D-0000-FFFF-FFFF00000000}"/>
  </bookViews>
  <sheets>
    <sheet name="Capa" sheetId="40" r:id="rId1"/>
    <sheet name="Orç_20-30" sheetId="28" state="hidden" r:id="rId2"/>
    <sheet name="Crono_20-30" sheetId="34" state="hidden" r:id="rId3"/>
    <sheet name="Definições" sheetId="47" r:id="rId4"/>
    <sheet name="Dados Básicos do município" sheetId="54" r:id="rId5"/>
    <sheet name="Dias trabalhados" sheetId="95" r:id="rId6"/>
    <sheet name="Reajuste" sheetId="160" r:id="rId7"/>
    <sheet name="Deslocamento" sheetId="129" r:id="rId8"/>
    <sheet name="Prod. Topografia" sheetId="110" r:id="rId9"/>
    <sheet name="Prod. Cadastro Técnico" sheetId="165" r:id="rId10"/>
    <sheet name="Custos" sheetId="82" r:id="rId11"/>
    <sheet name="Horas trabalhadas" sheetId="116" r:id="rId12"/>
    <sheet name="DNIT04.23" sheetId="162" state="hidden" r:id="rId13"/>
    <sheet name="Serviços" sheetId="117" r:id="rId14"/>
    <sheet name="K" sheetId="115" r:id="rId15"/>
    <sheet name="P1" sheetId="138" r:id="rId16"/>
    <sheet name="P2" sheetId="147" r:id="rId17"/>
    <sheet name="P3" sheetId="146" r:id="rId18"/>
    <sheet name="P4" sheetId="149" r:id="rId19"/>
    <sheet name="P5" sheetId="150" r:id="rId20"/>
    <sheet name="P6" sheetId="151" r:id="rId21"/>
    <sheet name="P7a" sheetId="153" r:id="rId22"/>
    <sheet name="P7b" sheetId="161" r:id="rId23"/>
    <sheet name="P8" sheetId="152" r:id="rId24"/>
    <sheet name="Produto Consolidado" sheetId="145" r:id="rId25"/>
    <sheet name="CPP" sheetId="125" r:id="rId26"/>
    <sheet name="Cronograma" sheetId="159" r:id="rId27"/>
  </sheets>
  <externalReferences>
    <externalReference r:id="rId28"/>
  </externalReferences>
  <definedNames>
    <definedName name="_xlnm.Print_Area" localSheetId="0">Capa!$A$1:$J$55</definedName>
    <definedName name="_xlnm.Print_Area" localSheetId="25">CPP!$A$1:$E$18</definedName>
    <definedName name="_xlnm.Print_Area" localSheetId="2">'Crono_20-30'!$A$2:$H$30</definedName>
    <definedName name="_xlnm.Print_Area" localSheetId="26">Cronograma!$A$1:$AJ$31</definedName>
    <definedName name="_xlnm.Print_Area" localSheetId="10">Custos!$A$1:$N$53</definedName>
    <definedName name="_xlnm.Print_Area" localSheetId="4">'Dados Básicos do município'!$A$1:$H$26</definedName>
    <definedName name="_xlnm.Print_Area" localSheetId="3">Definições!$A$1:$J$48</definedName>
    <definedName name="_xlnm.Print_Area" localSheetId="7">Deslocamento!$A$1:$F$23</definedName>
    <definedName name="_xlnm.Print_Area" localSheetId="5">'Dias trabalhados'!$A$1:$H$49</definedName>
    <definedName name="_xlnm.Print_Area" localSheetId="11">'Horas trabalhadas'!$A$1:$M$44</definedName>
    <definedName name="_xlnm.Print_Area" localSheetId="14">K!$A$1:$F$22</definedName>
    <definedName name="_xlnm.Print_Area" localSheetId="1">'Orç_20-30'!$A$1:$G$82</definedName>
    <definedName name="_xlnm.Print_Area" localSheetId="15">'P1'!$A$1:$K$50</definedName>
    <definedName name="_xlnm.Print_Area" localSheetId="16">'P2'!$A$1:$K$50</definedName>
    <definedName name="_xlnm.Print_Area" localSheetId="17">'P3'!$A$1:$K$51</definedName>
    <definedName name="_xlnm.Print_Area" localSheetId="18">'P4'!$A$1:$K$50</definedName>
    <definedName name="_xlnm.Print_Area" localSheetId="19">'P5'!$A$1:$K$50</definedName>
    <definedName name="_xlnm.Print_Area" localSheetId="20">'P6'!$A$1:$K$50</definedName>
    <definedName name="_xlnm.Print_Area" localSheetId="21">P7a!$A$1:$K$50</definedName>
    <definedName name="_xlnm.Print_Area" localSheetId="23">'P8'!$A$1:$K$50</definedName>
    <definedName name="_xlnm.Print_Area" localSheetId="9">'Prod. Cadastro Técnico'!$A$1:$I$22</definedName>
    <definedName name="_xlnm.Print_Area" localSheetId="8">'Prod. Topografia'!$A$1:$I$20</definedName>
    <definedName name="_xlnm.Print_Area" localSheetId="24">'Produto Consolidado'!$A$1:$K$49</definedName>
    <definedName name="_xlnm.Print_Area" localSheetId="6">Reajuste!$A$1:$O$16</definedName>
    <definedName name="_xlnm.Print_Area" localSheetId="13">Serviços!$A$1:$L$18</definedName>
    <definedName name="_xlnm.Print_Titles" localSheetId="15">'P1'!$1:$4</definedName>
    <definedName name="_xlnm.Print_Titles" localSheetId="16">'P2'!$1:$4</definedName>
    <definedName name="_xlnm.Print_Titles" localSheetId="17">'P3'!$1:$4</definedName>
    <definedName name="_xlnm.Print_Titles" localSheetId="18">'P4'!$1:$4</definedName>
    <definedName name="_xlnm.Print_Titles" localSheetId="19">'P5'!$1:$4</definedName>
    <definedName name="_xlnm.Print_Titles" localSheetId="20">'P6'!$1:$4</definedName>
    <definedName name="_xlnm.Print_Titles" localSheetId="21">P7a!$1:$4</definedName>
    <definedName name="_xlnm.Print_Titles" localSheetId="23">'P8'!$1:$4</definedName>
    <definedName name="_xlnm.Print_Titles" localSheetId="24">'Produto Consolidado'!$1:$4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" i="82" l="1"/>
  <c r="M46" i="82"/>
  <c r="J46" i="82"/>
  <c r="F10" i="165"/>
  <c r="D19" i="161"/>
  <c r="D19" i="153"/>
  <c r="D19" i="151"/>
  <c r="C1" i="138"/>
  <c r="B1" i="115"/>
  <c r="B1" i="117"/>
  <c r="B1" i="116"/>
  <c r="B1" i="82"/>
  <c r="B1" i="165"/>
  <c r="B1" i="110"/>
  <c r="B1" i="129"/>
  <c r="C48" i="95"/>
  <c r="C47" i="95"/>
  <c r="D19" i="149"/>
  <c r="B12" i="149"/>
  <c r="C12" i="149"/>
  <c r="D12" i="149"/>
  <c r="E12" i="149"/>
  <c r="D19" i="147"/>
  <c r="J39" i="116"/>
  <c r="I39" i="116"/>
  <c r="H39" i="116"/>
  <c r="G39" i="116"/>
  <c r="F39" i="116"/>
  <c r="E39" i="116"/>
  <c r="D39" i="116"/>
  <c r="C39" i="116"/>
  <c r="J42" i="116"/>
  <c r="I42" i="116"/>
  <c r="H42" i="116"/>
  <c r="G42" i="116"/>
  <c r="F42" i="116"/>
  <c r="E42" i="116"/>
  <c r="D42" i="116"/>
  <c r="C42" i="116"/>
  <c r="J35" i="116"/>
  <c r="J34" i="116"/>
  <c r="M22" i="82"/>
  <c r="M21" i="82"/>
  <c r="M20" i="82"/>
  <c r="M15" i="82"/>
  <c r="M14" i="82"/>
  <c r="M13" i="82"/>
  <c r="I13" i="82" s="1"/>
  <c r="F10" i="110"/>
  <c r="H10" i="110" s="1"/>
  <c r="G10" i="110"/>
  <c r="D44" i="116"/>
  <c r="D43" i="116"/>
  <c r="D41" i="116"/>
  <c r="D40" i="116"/>
  <c r="D38" i="116"/>
  <c r="F19" i="129"/>
  <c r="G11" i="165" l="1"/>
  <c r="G10" i="165"/>
  <c r="F11" i="165"/>
  <c r="C2" i="153"/>
  <c r="C2" i="161"/>
  <c r="B6" i="54"/>
  <c r="D6" i="165" s="1"/>
  <c r="J44" i="116" l="1"/>
  <c r="J43" i="116"/>
  <c r="J38" i="116"/>
  <c r="I44" i="116"/>
  <c r="I43" i="116"/>
  <c r="I41" i="116"/>
  <c r="I40" i="116"/>
  <c r="I38" i="116"/>
  <c r="I35" i="116"/>
  <c r="H44" i="116"/>
  <c r="H43" i="116"/>
  <c r="H41" i="116"/>
  <c r="H40" i="116"/>
  <c r="H38" i="116"/>
  <c r="H35" i="116"/>
  <c r="G44" i="116"/>
  <c r="G43" i="116"/>
  <c r="G41" i="116"/>
  <c r="G40" i="116"/>
  <c r="G38" i="116"/>
  <c r="G35" i="116"/>
  <c r="F44" i="116"/>
  <c r="F43" i="116"/>
  <c r="F38" i="116"/>
  <c r="E44" i="116"/>
  <c r="E43" i="116"/>
  <c r="E41" i="116"/>
  <c r="E40" i="116"/>
  <c r="E38" i="116"/>
  <c r="C44" i="116"/>
  <c r="C43" i="116"/>
  <c r="C41" i="116"/>
  <c r="C40" i="116"/>
  <c r="C38" i="116"/>
  <c r="B44" i="116"/>
  <c r="B43" i="116"/>
  <c r="B42" i="116"/>
  <c r="B41" i="116"/>
  <c r="B40" i="116"/>
  <c r="B39" i="116"/>
  <c r="B38" i="116"/>
  <c r="B37" i="116"/>
  <c r="L28" i="116"/>
  <c r="M27" i="116" l="1"/>
  <c r="M26" i="116"/>
  <c r="M25" i="116"/>
  <c r="M24" i="116"/>
  <c r="M23" i="116"/>
  <c r="M20" i="116"/>
  <c r="M19" i="116"/>
  <c r="M22" i="116"/>
  <c r="M21" i="116"/>
  <c r="L6" i="116"/>
  <c r="G39" i="145"/>
  <c r="F39" i="145"/>
  <c r="E39" i="145"/>
  <c r="D39" i="145"/>
  <c r="C39" i="145"/>
  <c r="B39" i="145"/>
  <c r="G38" i="145"/>
  <c r="F38" i="145"/>
  <c r="E38" i="145"/>
  <c r="D38" i="145"/>
  <c r="C38" i="145"/>
  <c r="B38" i="145"/>
  <c r="I33" i="116" l="1"/>
  <c r="D33" i="116"/>
  <c r="E33" i="116"/>
  <c r="B33" i="116"/>
  <c r="C33" i="116"/>
  <c r="F33" i="116"/>
  <c r="G33" i="116"/>
  <c r="H33" i="116"/>
  <c r="J33" i="116"/>
  <c r="H39" i="152"/>
  <c r="H38" i="152"/>
  <c r="H39" i="161"/>
  <c r="H38" i="161"/>
  <c r="G39" i="152"/>
  <c r="F39" i="152"/>
  <c r="E39" i="152"/>
  <c r="D39" i="152"/>
  <c r="C39" i="152"/>
  <c r="B39" i="152"/>
  <c r="G38" i="152"/>
  <c r="F38" i="152"/>
  <c r="E38" i="152"/>
  <c r="D38" i="152"/>
  <c r="C38" i="152"/>
  <c r="B38" i="152"/>
  <c r="D1" i="161"/>
  <c r="D1" i="152" s="1"/>
  <c r="G39" i="161"/>
  <c r="F39" i="161"/>
  <c r="E39" i="161"/>
  <c r="D39" i="161"/>
  <c r="C39" i="161"/>
  <c r="B39" i="161"/>
  <c r="G38" i="161"/>
  <c r="F38" i="161"/>
  <c r="E38" i="161"/>
  <c r="D38" i="161"/>
  <c r="C38" i="161"/>
  <c r="B38" i="161"/>
  <c r="H39" i="153"/>
  <c r="H38" i="153"/>
  <c r="G39" i="153"/>
  <c r="F39" i="153"/>
  <c r="E39" i="153"/>
  <c r="D39" i="153"/>
  <c r="C39" i="153"/>
  <c r="B39" i="153"/>
  <c r="G38" i="153"/>
  <c r="F38" i="153"/>
  <c r="E38" i="153"/>
  <c r="D38" i="153"/>
  <c r="C38" i="153"/>
  <c r="B38" i="153"/>
  <c r="H39" i="151"/>
  <c r="H38" i="151"/>
  <c r="G39" i="151"/>
  <c r="F39" i="151"/>
  <c r="E39" i="151"/>
  <c r="D39" i="151"/>
  <c r="C39" i="151"/>
  <c r="B39" i="151"/>
  <c r="G38" i="151"/>
  <c r="F38" i="151"/>
  <c r="E38" i="151"/>
  <c r="D38" i="151"/>
  <c r="C38" i="151"/>
  <c r="B38" i="151"/>
  <c r="H39" i="150"/>
  <c r="H38" i="150"/>
  <c r="G39" i="150"/>
  <c r="F39" i="150"/>
  <c r="I39" i="150" s="1"/>
  <c r="E39" i="150"/>
  <c r="D39" i="150"/>
  <c r="C39" i="150"/>
  <c r="B39" i="150"/>
  <c r="G38" i="150"/>
  <c r="F38" i="150"/>
  <c r="I38" i="150" s="1"/>
  <c r="E38" i="150"/>
  <c r="D38" i="150"/>
  <c r="C38" i="150"/>
  <c r="B38" i="150"/>
  <c r="H39" i="149"/>
  <c r="H38" i="149"/>
  <c r="G39" i="149"/>
  <c r="F39" i="149"/>
  <c r="E39" i="149"/>
  <c r="D39" i="149"/>
  <c r="C39" i="149"/>
  <c r="B39" i="149"/>
  <c r="G38" i="149"/>
  <c r="F38" i="149"/>
  <c r="E38" i="149"/>
  <c r="D38" i="149"/>
  <c r="C38" i="149"/>
  <c r="B38" i="149"/>
  <c r="H39" i="147"/>
  <c r="H38" i="147"/>
  <c r="G39" i="147"/>
  <c r="F39" i="147"/>
  <c r="E39" i="147"/>
  <c r="D39" i="147"/>
  <c r="C39" i="147"/>
  <c r="B39" i="147"/>
  <c r="G38" i="147"/>
  <c r="F38" i="147"/>
  <c r="E38" i="147"/>
  <c r="D38" i="147"/>
  <c r="C38" i="147"/>
  <c r="B38" i="147"/>
  <c r="H39" i="146"/>
  <c r="H38" i="146"/>
  <c r="G39" i="146"/>
  <c r="F39" i="146"/>
  <c r="I39" i="146" s="1"/>
  <c r="E39" i="146"/>
  <c r="D39" i="146"/>
  <c r="C39" i="146"/>
  <c r="B39" i="146"/>
  <c r="G38" i="146"/>
  <c r="F38" i="146"/>
  <c r="I38" i="146" s="1"/>
  <c r="E38" i="146"/>
  <c r="D38" i="146"/>
  <c r="C38" i="146"/>
  <c r="B38" i="146"/>
  <c r="H39" i="138"/>
  <c r="H38" i="138"/>
  <c r="G39" i="138"/>
  <c r="F39" i="138"/>
  <c r="I39" i="138" s="1"/>
  <c r="E39" i="138"/>
  <c r="D39" i="138"/>
  <c r="C39" i="138"/>
  <c r="B39" i="138"/>
  <c r="G38" i="138"/>
  <c r="F38" i="138"/>
  <c r="E38" i="138"/>
  <c r="D38" i="138"/>
  <c r="C38" i="138"/>
  <c r="B38" i="138"/>
  <c r="H35" i="151"/>
  <c r="H34" i="151"/>
  <c r="H29" i="151"/>
  <c r="H25" i="151"/>
  <c r="H26" i="151"/>
  <c r="H24" i="151"/>
  <c r="H35" i="150"/>
  <c r="H34" i="150"/>
  <c r="H30" i="150"/>
  <c r="H31" i="150"/>
  <c r="H29" i="150"/>
  <c r="H25" i="150"/>
  <c r="H26" i="150"/>
  <c r="H24" i="150"/>
  <c r="H35" i="149"/>
  <c r="H34" i="149"/>
  <c r="H30" i="149"/>
  <c r="H31" i="149"/>
  <c r="H29" i="149"/>
  <c r="H25" i="149"/>
  <c r="H26" i="149"/>
  <c r="H24" i="149"/>
  <c r="H30" i="147"/>
  <c r="H31" i="147"/>
  <c r="H29" i="147"/>
  <c r="H25" i="147"/>
  <c r="H26" i="147"/>
  <c r="H24" i="147"/>
  <c r="H35" i="146"/>
  <c r="H34" i="146"/>
  <c r="H30" i="146"/>
  <c r="H31" i="146"/>
  <c r="H29" i="146"/>
  <c r="D1" i="146"/>
  <c r="D1" i="147" s="1"/>
  <c r="D1" i="149" s="1"/>
  <c r="D1" i="150" s="1"/>
  <c r="A1" i="95"/>
  <c r="A1" i="54"/>
  <c r="C21" i="54"/>
  <c r="B9" i="129"/>
  <c r="I38" i="153" l="1"/>
  <c r="C23" i="54"/>
  <c r="H10" i="165" s="1"/>
  <c r="C22" i="54"/>
  <c r="C24" i="54" s="1"/>
  <c r="H11" i="165" s="1"/>
  <c r="I12" i="165" s="1"/>
  <c r="E12" i="117" s="1"/>
  <c r="H29" i="145"/>
  <c r="H39" i="145"/>
  <c r="H38" i="145"/>
  <c r="I38" i="138"/>
  <c r="I39" i="151"/>
  <c r="I38" i="151"/>
  <c r="I38" i="149"/>
  <c r="I39" i="149"/>
  <c r="I39" i="147"/>
  <c r="I38" i="147"/>
  <c r="I39" i="161"/>
  <c r="I39" i="153"/>
  <c r="I38" i="152"/>
  <c r="I39" i="152"/>
  <c r="I38" i="161"/>
  <c r="D9" i="129"/>
  <c r="D19" i="129" s="1"/>
  <c r="C20" i="54"/>
  <c r="K14" i="117"/>
  <c r="K17" i="117"/>
  <c r="K18" i="117"/>
  <c r="B18" i="117"/>
  <c r="B17" i="117"/>
  <c r="I39" i="145" l="1"/>
  <c r="I38" i="145"/>
  <c r="E10" i="129"/>
  <c r="E11" i="129"/>
  <c r="E12" i="129"/>
  <c r="E13" i="129"/>
  <c r="E14" i="129"/>
  <c r="E15" i="129"/>
  <c r="E16" i="129"/>
  <c r="E17" i="129"/>
  <c r="E18" i="129"/>
  <c r="E9" i="129"/>
  <c r="B5" i="54"/>
  <c r="E53" i="40"/>
  <c r="B5" i="116" l="1"/>
  <c r="D5" i="165"/>
  <c r="E19" i="129"/>
  <c r="F43" i="161"/>
  <c r="I43" i="161" s="1"/>
  <c r="F43" i="150"/>
  <c r="I43" i="150" s="1"/>
  <c r="F43" i="147"/>
  <c r="F43" i="145"/>
  <c r="F43" i="149"/>
  <c r="I43" i="149" s="1"/>
  <c r="F43" i="152"/>
  <c r="I43" i="152" s="1"/>
  <c r="F43" i="151"/>
  <c r="C25" i="54"/>
  <c r="O1" i="160"/>
  <c r="I11" i="110"/>
  <c r="H16" i="117" l="1"/>
  <c r="H15" i="117"/>
  <c r="H43" i="151"/>
  <c r="I43" i="151" s="1"/>
  <c r="H43" i="147"/>
  <c r="I43" i="147" s="1"/>
  <c r="H43" i="146"/>
  <c r="H43" i="145" s="1"/>
  <c r="D9" i="117"/>
  <c r="K9" i="117" s="1"/>
  <c r="H31" i="151"/>
  <c r="H31" i="145" s="1"/>
  <c r="D10" i="117"/>
  <c r="B16" i="159"/>
  <c r="B19" i="159"/>
  <c r="H30" i="151" l="1"/>
  <c r="H30" i="145" s="1"/>
  <c r="K15" i="117"/>
  <c r="H24" i="146"/>
  <c r="H24" i="145" s="1"/>
  <c r="K16" i="117"/>
  <c r="K10" i="117"/>
  <c r="H25" i="146"/>
  <c r="H25" i="145" s="1"/>
  <c r="G43" i="161"/>
  <c r="E43" i="161"/>
  <c r="D43" i="161"/>
  <c r="C43" i="161"/>
  <c r="B43" i="161"/>
  <c r="G35" i="161"/>
  <c r="E35" i="161"/>
  <c r="D35" i="161"/>
  <c r="C35" i="161"/>
  <c r="G34" i="161"/>
  <c r="E34" i="161"/>
  <c r="D34" i="161"/>
  <c r="C34" i="161"/>
  <c r="G31" i="161"/>
  <c r="E31" i="161"/>
  <c r="D31" i="161"/>
  <c r="C31" i="161"/>
  <c r="G30" i="161"/>
  <c r="E30" i="161"/>
  <c r="D30" i="161"/>
  <c r="C30" i="161"/>
  <c r="G29" i="161"/>
  <c r="E29" i="161"/>
  <c r="D29" i="161"/>
  <c r="C29" i="161"/>
  <c r="G26" i="161"/>
  <c r="E26" i="161"/>
  <c r="D26" i="161"/>
  <c r="C26" i="161"/>
  <c r="G25" i="161"/>
  <c r="E25" i="161"/>
  <c r="D25" i="161"/>
  <c r="C25" i="161"/>
  <c r="G24" i="161"/>
  <c r="E24" i="161"/>
  <c r="D24" i="161"/>
  <c r="C24" i="161"/>
  <c r="E19" i="161"/>
  <c r="C19" i="161"/>
  <c r="E18" i="161"/>
  <c r="D18" i="161"/>
  <c r="C18" i="161"/>
  <c r="E17" i="161"/>
  <c r="D17" i="161"/>
  <c r="C17" i="161"/>
  <c r="E12" i="161"/>
  <c r="D12" i="161"/>
  <c r="C12" i="161"/>
  <c r="E11" i="161"/>
  <c r="D11" i="161"/>
  <c r="C11" i="161"/>
  <c r="E10" i="161"/>
  <c r="D10" i="161"/>
  <c r="C10" i="161"/>
  <c r="H34" i="147" l="1"/>
  <c r="H34" i="145" s="1"/>
  <c r="B15" i="125"/>
  <c r="K12" i="117" l="1"/>
  <c r="I15" i="82" l="1"/>
  <c r="I22" i="82"/>
  <c r="I21" i="82"/>
  <c r="I20" i="82"/>
  <c r="I14" i="82"/>
  <c r="F30" i="161"/>
  <c r="I30" i="161" s="1"/>
  <c r="F31" i="161"/>
  <c r="I31" i="161" s="1"/>
  <c r="F24" i="161"/>
  <c r="I24" i="161" s="1"/>
  <c r="F25" i="161"/>
  <c r="I25" i="161" s="1"/>
  <c r="F26" i="161"/>
  <c r="I26" i="161" s="1"/>
  <c r="F34" i="161"/>
  <c r="I34" i="161" s="1"/>
  <c r="F29" i="161"/>
  <c r="I29" i="161" s="1"/>
  <c r="F35" i="161"/>
  <c r="I35" i="161" s="1"/>
  <c r="C14" i="95" l="1"/>
  <c r="C12" i="150"/>
  <c r="D12" i="150"/>
  <c r="E12" i="150"/>
  <c r="B31" i="138"/>
  <c r="B31" i="161" s="1"/>
  <c r="B35" i="138"/>
  <c r="B35" i="161" s="1"/>
  <c r="B34" i="138"/>
  <c r="B30" i="138"/>
  <c r="B30" i="161" s="1"/>
  <c r="B29" i="138"/>
  <c r="B25" i="138"/>
  <c r="B26" i="138"/>
  <c r="B24" i="138"/>
  <c r="B17" i="138"/>
  <c r="B17" i="161" s="1"/>
  <c r="B18" i="138"/>
  <c r="B19" i="138"/>
  <c r="B19" i="161" s="1"/>
  <c r="B11" i="138"/>
  <c r="B12" i="138"/>
  <c r="B10" i="138"/>
  <c r="B10" i="147" s="1"/>
  <c r="B18" i="146" l="1"/>
  <c r="B18" i="161"/>
  <c r="B24" i="152"/>
  <c r="B24" i="161"/>
  <c r="B26" i="145"/>
  <c r="B26" i="161"/>
  <c r="B12" i="145"/>
  <c r="B12" i="161"/>
  <c r="B25" i="146"/>
  <c r="B25" i="161"/>
  <c r="B29" i="152"/>
  <c r="B29" i="161"/>
  <c r="B11" i="153"/>
  <c r="B11" i="161"/>
  <c r="B10" i="145"/>
  <c r="B10" i="161"/>
  <c r="B34" i="146"/>
  <c r="B34" i="161"/>
  <c r="B19" i="152"/>
  <c r="B19" i="146"/>
  <c r="B17" i="152"/>
  <c r="B17" i="145"/>
  <c r="B30" i="145"/>
  <c r="B30" i="152"/>
  <c r="B30" i="150"/>
  <c r="B30" i="146"/>
  <c r="B35" i="145"/>
  <c r="B35" i="151"/>
  <c r="B35" i="147"/>
  <c r="B31" i="151"/>
  <c r="B31" i="146"/>
  <c r="B18" i="149"/>
  <c r="B17" i="149"/>
  <c r="B35" i="152"/>
  <c r="B25" i="145"/>
  <c r="B24" i="146"/>
  <c r="B35" i="146"/>
  <c r="B25" i="149"/>
  <c r="B35" i="150"/>
  <c r="B30" i="153"/>
  <c r="B29" i="145"/>
  <c r="B17" i="146"/>
  <c r="B29" i="146"/>
  <c r="B30" i="147"/>
  <c r="B29" i="149"/>
  <c r="B30" i="151"/>
  <c r="B35" i="153"/>
  <c r="B18" i="145"/>
  <c r="B12" i="146"/>
  <c r="B12" i="147"/>
  <c r="B18" i="147"/>
  <c r="B25" i="147"/>
  <c r="B34" i="149"/>
  <c r="B12" i="150"/>
  <c r="B18" i="150"/>
  <c r="B25" i="150"/>
  <c r="B12" i="151"/>
  <c r="B18" i="151"/>
  <c r="B25" i="151"/>
  <c r="B12" i="153"/>
  <c r="B18" i="153"/>
  <c r="B25" i="153"/>
  <c r="B31" i="153"/>
  <c r="B12" i="152"/>
  <c r="B18" i="152"/>
  <c r="B25" i="152"/>
  <c r="B31" i="152"/>
  <c r="B34" i="145"/>
  <c r="B17" i="147"/>
  <c r="B29" i="147"/>
  <c r="B34" i="147"/>
  <c r="B19" i="149"/>
  <c r="B24" i="149"/>
  <c r="B31" i="149"/>
  <c r="B35" i="149"/>
  <c r="B17" i="150"/>
  <c r="B29" i="150"/>
  <c r="B34" i="150"/>
  <c r="B17" i="151"/>
  <c r="B29" i="151"/>
  <c r="B34" i="151"/>
  <c r="B17" i="153"/>
  <c r="B29" i="153"/>
  <c r="B34" i="153"/>
  <c r="B34" i="152"/>
  <c r="B19" i="145"/>
  <c r="B24" i="145"/>
  <c r="B31" i="145"/>
  <c r="B10" i="146"/>
  <c r="B11" i="147"/>
  <c r="B26" i="147"/>
  <c r="B10" i="149"/>
  <c r="B10" i="150"/>
  <c r="B11" i="150"/>
  <c r="B26" i="150"/>
  <c r="B10" i="151"/>
  <c r="B11" i="151"/>
  <c r="B26" i="151"/>
  <c r="B10" i="153"/>
  <c r="B26" i="153"/>
  <c r="B10" i="152"/>
  <c r="B11" i="152"/>
  <c r="B26" i="152"/>
  <c r="B11" i="145"/>
  <c r="B11" i="146"/>
  <c r="B26" i="146"/>
  <c r="B19" i="147"/>
  <c r="B24" i="147"/>
  <c r="B31" i="147"/>
  <c r="B11" i="149"/>
  <c r="B26" i="149"/>
  <c r="B30" i="149"/>
  <c r="B19" i="150"/>
  <c r="B24" i="150"/>
  <c r="B31" i="150"/>
  <c r="B19" i="151"/>
  <c r="B24" i="151"/>
  <c r="B19" i="153"/>
  <c r="B24" i="153"/>
  <c r="G43" i="145" l="1"/>
  <c r="G43" i="152"/>
  <c r="G43" i="153"/>
  <c r="G43" i="151"/>
  <c r="G43" i="150"/>
  <c r="G43" i="149"/>
  <c r="G43" i="147"/>
  <c r="G43" i="146"/>
  <c r="D19" i="152" l="1"/>
  <c r="D19" i="150"/>
  <c r="D43" i="145" l="1"/>
  <c r="C43" i="145"/>
  <c r="B43" i="145"/>
  <c r="C34" i="145"/>
  <c r="C35" i="145"/>
  <c r="C29" i="145"/>
  <c r="C30" i="145"/>
  <c r="C31" i="145"/>
  <c r="C24" i="145"/>
  <c r="C25" i="145"/>
  <c r="C26" i="145"/>
  <c r="C17" i="145"/>
  <c r="C18" i="145"/>
  <c r="C19" i="145"/>
  <c r="C10" i="145"/>
  <c r="C11" i="145"/>
  <c r="C12" i="145"/>
  <c r="D43" i="152"/>
  <c r="C43" i="152"/>
  <c r="B43" i="152"/>
  <c r="C34" i="152"/>
  <c r="C35" i="152"/>
  <c r="C29" i="152"/>
  <c r="C30" i="152"/>
  <c r="C31" i="152"/>
  <c r="C24" i="152"/>
  <c r="C25" i="152"/>
  <c r="C26" i="152"/>
  <c r="C17" i="152"/>
  <c r="C18" i="152"/>
  <c r="C19" i="152"/>
  <c r="C10" i="152"/>
  <c r="C11" i="152"/>
  <c r="C12" i="152"/>
  <c r="D43" i="153"/>
  <c r="C43" i="153"/>
  <c r="B43" i="153"/>
  <c r="C34" i="153"/>
  <c r="C35" i="153"/>
  <c r="C29" i="153"/>
  <c r="C30" i="153"/>
  <c r="C31" i="153"/>
  <c r="C24" i="153"/>
  <c r="C25" i="153"/>
  <c r="C26" i="153"/>
  <c r="C17" i="153"/>
  <c r="C18" i="153"/>
  <c r="C19" i="153"/>
  <c r="C10" i="153"/>
  <c r="C11" i="153"/>
  <c r="C12" i="153"/>
  <c r="D43" i="151"/>
  <c r="C43" i="151"/>
  <c r="B43" i="151"/>
  <c r="C34" i="151"/>
  <c r="C35" i="151"/>
  <c r="C29" i="151"/>
  <c r="C30" i="151"/>
  <c r="C31" i="151"/>
  <c r="C24" i="151"/>
  <c r="C25" i="151"/>
  <c r="C26" i="151"/>
  <c r="C17" i="151"/>
  <c r="C18" i="151"/>
  <c r="C19" i="151"/>
  <c r="C10" i="151"/>
  <c r="C11" i="151"/>
  <c r="C12" i="151"/>
  <c r="D43" i="150"/>
  <c r="C43" i="150"/>
  <c r="B43" i="150"/>
  <c r="C34" i="150"/>
  <c r="C35" i="150"/>
  <c r="C29" i="150"/>
  <c r="C30" i="150"/>
  <c r="C31" i="150"/>
  <c r="C24" i="150"/>
  <c r="C25" i="150"/>
  <c r="C26" i="150"/>
  <c r="C17" i="150"/>
  <c r="C18" i="150"/>
  <c r="C19" i="150"/>
  <c r="C10" i="150"/>
  <c r="C11" i="150"/>
  <c r="C34" i="149"/>
  <c r="C35" i="149"/>
  <c r="C29" i="149"/>
  <c r="C30" i="149"/>
  <c r="C31" i="149"/>
  <c r="C24" i="149"/>
  <c r="C25" i="149"/>
  <c r="C26" i="149"/>
  <c r="C17" i="149"/>
  <c r="C18" i="149"/>
  <c r="C19" i="149"/>
  <c r="C10" i="149"/>
  <c r="C11" i="149"/>
  <c r="E43" i="150"/>
  <c r="D43" i="149"/>
  <c r="C43" i="149"/>
  <c r="B43" i="149"/>
  <c r="D43" i="147"/>
  <c r="C43" i="147"/>
  <c r="B43" i="147"/>
  <c r="C34" i="147"/>
  <c r="C35" i="147"/>
  <c r="C29" i="147"/>
  <c r="C30" i="147"/>
  <c r="C31" i="147"/>
  <c r="C24" i="147"/>
  <c r="C25" i="147"/>
  <c r="C26" i="147"/>
  <c r="C17" i="147"/>
  <c r="C18" i="147"/>
  <c r="C19" i="147"/>
  <c r="C10" i="147"/>
  <c r="C11" i="147"/>
  <c r="C12" i="147"/>
  <c r="D43" i="146"/>
  <c r="C43" i="146"/>
  <c r="B43" i="146"/>
  <c r="C34" i="146"/>
  <c r="C35" i="146"/>
  <c r="C29" i="146"/>
  <c r="C30" i="146"/>
  <c r="C31" i="146"/>
  <c r="C24" i="146"/>
  <c r="C25" i="146"/>
  <c r="C26" i="146"/>
  <c r="C17" i="146"/>
  <c r="C18" i="146"/>
  <c r="C19" i="146"/>
  <c r="C10" i="146"/>
  <c r="C11" i="146"/>
  <c r="C12" i="146"/>
  <c r="B43" i="138"/>
  <c r="C43" i="138"/>
  <c r="C35" i="138"/>
  <c r="C34" i="138"/>
  <c r="C31" i="138"/>
  <c r="C30" i="138"/>
  <c r="C29" i="138"/>
  <c r="C26" i="138"/>
  <c r="C25" i="138"/>
  <c r="C24" i="138"/>
  <c r="C17" i="138"/>
  <c r="C18" i="138"/>
  <c r="C19" i="138"/>
  <c r="C11" i="138"/>
  <c r="C12" i="138"/>
  <c r="C10" i="138"/>
  <c r="D43" i="138"/>
  <c r="F25" i="152" l="1"/>
  <c r="I25" i="152" s="1"/>
  <c r="F34" i="153"/>
  <c r="I34" i="153" s="1"/>
  <c r="G30" i="145"/>
  <c r="G31" i="145"/>
  <c r="G29" i="145"/>
  <c r="F30" i="145"/>
  <c r="F31" i="145"/>
  <c r="E30" i="145"/>
  <c r="E31" i="145"/>
  <c r="E29" i="145"/>
  <c r="D30" i="145"/>
  <c r="D31" i="145"/>
  <c r="D29" i="145"/>
  <c r="G25" i="145"/>
  <c r="G26" i="145"/>
  <c r="G24" i="145"/>
  <c r="G24" i="152"/>
  <c r="F26" i="145"/>
  <c r="F24" i="145"/>
  <c r="F26" i="152"/>
  <c r="I26" i="152" s="1"/>
  <c r="F24" i="152"/>
  <c r="I24" i="152" s="1"/>
  <c r="E25" i="145"/>
  <c r="E26" i="145"/>
  <c r="E24" i="145"/>
  <c r="D24" i="145"/>
  <c r="D25" i="145"/>
  <c r="D26" i="145"/>
  <c r="C2" i="152"/>
  <c r="E43" i="153"/>
  <c r="G35" i="153"/>
  <c r="F35" i="153"/>
  <c r="I35" i="153" s="1"/>
  <c r="E35" i="153"/>
  <c r="D35" i="153"/>
  <c r="G34" i="153"/>
  <c r="E34" i="153"/>
  <c r="D34" i="153"/>
  <c r="G31" i="153"/>
  <c r="F31" i="153"/>
  <c r="I31" i="153" s="1"/>
  <c r="E31" i="153"/>
  <c r="D31" i="153"/>
  <c r="G30" i="153"/>
  <c r="F30" i="153"/>
  <c r="I30" i="153" s="1"/>
  <c r="E30" i="153"/>
  <c r="D30" i="153"/>
  <c r="G29" i="153"/>
  <c r="F29" i="153"/>
  <c r="I29" i="153" s="1"/>
  <c r="E29" i="153"/>
  <c r="D29" i="153"/>
  <c r="G26" i="153"/>
  <c r="F26" i="153"/>
  <c r="I26" i="153" s="1"/>
  <c r="E26" i="153"/>
  <c r="D26" i="153"/>
  <c r="G25" i="153"/>
  <c r="F25" i="153"/>
  <c r="I25" i="153" s="1"/>
  <c r="E25" i="153"/>
  <c r="D25" i="153"/>
  <c r="G24" i="153"/>
  <c r="F24" i="153"/>
  <c r="I24" i="153" s="1"/>
  <c r="E24" i="153"/>
  <c r="D24" i="153"/>
  <c r="E19" i="153"/>
  <c r="E18" i="153"/>
  <c r="D18" i="153"/>
  <c r="E17" i="153"/>
  <c r="D17" i="153"/>
  <c r="E12" i="153"/>
  <c r="D12" i="153"/>
  <c r="E11" i="153"/>
  <c r="D11" i="153"/>
  <c r="E10" i="153"/>
  <c r="D10" i="153"/>
  <c r="E43" i="152"/>
  <c r="G35" i="152"/>
  <c r="F35" i="152"/>
  <c r="I35" i="152" s="1"/>
  <c r="E35" i="152"/>
  <c r="D35" i="152"/>
  <c r="G34" i="152"/>
  <c r="E34" i="152"/>
  <c r="D34" i="152"/>
  <c r="G31" i="152"/>
  <c r="F31" i="152"/>
  <c r="I31" i="152" s="1"/>
  <c r="E31" i="152"/>
  <c r="D31" i="152"/>
  <c r="G30" i="152"/>
  <c r="F30" i="152"/>
  <c r="I30" i="152" s="1"/>
  <c r="E30" i="152"/>
  <c r="D30" i="152"/>
  <c r="G29" i="152"/>
  <c r="F29" i="152"/>
  <c r="I29" i="152" s="1"/>
  <c r="E29" i="152"/>
  <c r="D29" i="152"/>
  <c r="G26" i="152"/>
  <c r="E26" i="152"/>
  <c r="D26" i="152"/>
  <c r="G25" i="152"/>
  <c r="E25" i="152"/>
  <c r="D25" i="152"/>
  <c r="E24" i="152"/>
  <c r="D24" i="152"/>
  <c r="E19" i="152"/>
  <c r="E18" i="152"/>
  <c r="D18" i="152"/>
  <c r="E17" i="152"/>
  <c r="D17" i="152"/>
  <c r="E12" i="152"/>
  <c r="D12" i="152"/>
  <c r="E11" i="152"/>
  <c r="D11" i="152"/>
  <c r="E10" i="152"/>
  <c r="D10" i="152"/>
  <c r="C2" i="151"/>
  <c r="E43" i="151"/>
  <c r="G35" i="151"/>
  <c r="F35" i="151"/>
  <c r="I35" i="151" s="1"/>
  <c r="E35" i="151"/>
  <c r="D35" i="151"/>
  <c r="G34" i="151"/>
  <c r="F34" i="151"/>
  <c r="I34" i="151" s="1"/>
  <c r="E34" i="151"/>
  <c r="D34" i="151"/>
  <c r="G31" i="151"/>
  <c r="F31" i="151"/>
  <c r="I31" i="151" s="1"/>
  <c r="E31" i="151"/>
  <c r="D31" i="151"/>
  <c r="G30" i="151"/>
  <c r="F30" i="151"/>
  <c r="I30" i="151" s="1"/>
  <c r="E30" i="151"/>
  <c r="D30" i="151"/>
  <c r="G29" i="151"/>
  <c r="F29" i="151"/>
  <c r="I29" i="151" s="1"/>
  <c r="E29" i="151"/>
  <c r="D29" i="151"/>
  <c r="G26" i="151"/>
  <c r="F26" i="151"/>
  <c r="I26" i="151" s="1"/>
  <c r="E26" i="151"/>
  <c r="D26" i="151"/>
  <c r="G25" i="151"/>
  <c r="F25" i="151"/>
  <c r="I25" i="151" s="1"/>
  <c r="E25" i="151"/>
  <c r="D25" i="151"/>
  <c r="G24" i="151"/>
  <c r="F24" i="151"/>
  <c r="I24" i="151" s="1"/>
  <c r="E24" i="151"/>
  <c r="D24" i="151"/>
  <c r="E19" i="151"/>
  <c r="E18" i="151"/>
  <c r="D18" i="151"/>
  <c r="E17" i="151"/>
  <c r="D17" i="151"/>
  <c r="E12" i="151"/>
  <c r="D12" i="151"/>
  <c r="E11" i="151"/>
  <c r="D11" i="151"/>
  <c r="E10" i="151"/>
  <c r="D10" i="151"/>
  <c r="C2" i="150"/>
  <c r="G35" i="150"/>
  <c r="F35" i="150"/>
  <c r="I35" i="150" s="1"/>
  <c r="E35" i="150"/>
  <c r="D35" i="150"/>
  <c r="G34" i="150"/>
  <c r="F34" i="150"/>
  <c r="I34" i="150" s="1"/>
  <c r="E34" i="150"/>
  <c r="D34" i="150"/>
  <c r="G31" i="150"/>
  <c r="F31" i="150"/>
  <c r="I31" i="150" s="1"/>
  <c r="E31" i="150"/>
  <c r="D31" i="150"/>
  <c r="G30" i="150"/>
  <c r="F30" i="150"/>
  <c r="I30" i="150" s="1"/>
  <c r="E30" i="150"/>
  <c r="D30" i="150"/>
  <c r="G29" i="150"/>
  <c r="F29" i="150"/>
  <c r="I29" i="150" s="1"/>
  <c r="E29" i="150"/>
  <c r="D29" i="150"/>
  <c r="G26" i="150"/>
  <c r="F26" i="150"/>
  <c r="I26" i="150" s="1"/>
  <c r="E26" i="150"/>
  <c r="D26" i="150"/>
  <c r="G25" i="150"/>
  <c r="F25" i="150"/>
  <c r="I25" i="150" s="1"/>
  <c r="E25" i="150"/>
  <c r="D25" i="150"/>
  <c r="G24" i="150"/>
  <c r="F24" i="150"/>
  <c r="I24" i="150" s="1"/>
  <c r="E24" i="150"/>
  <c r="D24" i="150"/>
  <c r="E19" i="150"/>
  <c r="E18" i="150"/>
  <c r="D18" i="150"/>
  <c r="E17" i="150"/>
  <c r="D17" i="150"/>
  <c r="E11" i="150"/>
  <c r="D11" i="150"/>
  <c r="E10" i="150"/>
  <c r="D10" i="150"/>
  <c r="C2" i="149"/>
  <c r="E43" i="149"/>
  <c r="G35" i="149"/>
  <c r="F35" i="149"/>
  <c r="I35" i="149" s="1"/>
  <c r="E35" i="149"/>
  <c r="D35" i="149"/>
  <c r="G34" i="149"/>
  <c r="E34" i="149"/>
  <c r="D34" i="149"/>
  <c r="G31" i="149"/>
  <c r="F31" i="149"/>
  <c r="I31" i="149" s="1"/>
  <c r="E31" i="149"/>
  <c r="D31" i="149"/>
  <c r="G30" i="149"/>
  <c r="F30" i="149"/>
  <c r="I30" i="149" s="1"/>
  <c r="E30" i="149"/>
  <c r="D30" i="149"/>
  <c r="G29" i="149"/>
  <c r="F29" i="149"/>
  <c r="I29" i="149" s="1"/>
  <c r="E29" i="149"/>
  <c r="D29" i="149"/>
  <c r="G26" i="149"/>
  <c r="F26" i="149"/>
  <c r="I26" i="149" s="1"/>
  <c r="E26" i="149"/>
  <c r="D26" i="149"/>
  <c r="G25" i="149"/>
  <c r="F25" i="149"/>
  <c r="I25" i="149" s="1"/>
  <c r="E25" i="149"/>
  <c r="D25" i="149"/>
  <c r="G24" i="149"/>
  <c r="F24" i="149"/>
  <c r="I24" i="149" s="1"/>
  <c r="E24" i="149"/>
  <c r="D24" i="149"/>
  <c r="E19" i="149"/>
  <c r="E18" i="149"/>
  <c r="D18" i="149"/>
  <c r="E17" i="149"/>
  <c r="D17" i="149"/>
  <c r="E11" i="149"/>
  <c r="D11" i="149"/>
  <c r="E10" i="149"/>
  <c r="D10" i="149"/>
  <c r="C2" i="147"/>
  <c r="E43" i="147"/>
  <c r="G35" i="147"/>
  <c r="F35" i="147"/>
  <c r="E35" i="147"/>
  <c r="D35" i="147"/>
  <c r="G34" i="147"/>
  <c r="F34" i="147"/>
  <c r="I34" i="147" s="1"/>
  <c r="E34" i="147"/>
  <c r="D34" i="147"/>
  <c r="G31" i="147"/>
  <c r="F31" i="147"/>
  <c r="I31" i="147" s="1"/>
  <c r="E31" i="147"/>
  <c r="D31" i="147"/>
  <c r="G30" i="147"/>
  <c r="F30" i="147"/>
  <c r="I30" i="147" s="1"/>
  <c r="E30" i="147"/>
  <c r="D30" i="147"/>
  <c r="G29" i="147"/>
  <c r="F29" i="147"/>
  <c r="I29" i="147" s="1"/>
  <c r="E29" i="147"/>
  <c r="D29" i="147"/>
  <c r="G26" i="147"/>
  <c r="F26" i="147"/>
  <c r="I26" i="147" s="1"/>
  <c r="E26" i="147"/>
  <c r="D26" i="147"/>
  <c r="G25" i="147"/>
  <c r="F25" i="147"/>
  <c r="I25" i="147" s="1"/>
  <c r="E25" i="147"/>
  <c r="D25" i="147"/>
  <c r="G24" i="147"/>
  <c r="F24" i="147"/>
  <c r="I24" i="147" s="1"/>
  <c r="E24" i="147"/>
  <c r="D24" i="147"/>
  <c r="E19" i="147"/>
  <c r="E18" i="147"/>
  <c r="D18" i="147"/>
  <c r="E17" i="147"/>
  <c r="D17" i="147"/>
  <c r="E12" i="147"/>
  <c r="D12" i="147"/>
  <c r="E11" i="147"/>
  <c r="D11" i="147"/>
  <c r="E10" i="147"/>
  <c r="D10" i="147"/>
  <c r="C2" i="146"/>
  <c r="E43" i="146"/>
  <c r="G35" i="146"/>
  <c r="F35" i="146"/>
  <c r="I35" i="146" s="1"/>
  <c r="E35" i="146"/>
  <c r="D35" i="146"/>
  <c r="G34" i="146"/>
  <c r="F34" i="146"/>
  <c r="I34" i="146" s="1"/>
  <c r="E34" i="146"/>
  <c r="D34" i="146"/>
  <c r="G31" i="146"/>
  <c r="F31" i="146"/>
  <c r="I31" i="146" s="1"/>
  <c r="E31" i="146"/>
  <c r="D31" i="146"/>
  <c r="G30" i="146"/>
  <c r="F30" i="146"/>
  <c r="I30" i="146" s="1"/>
  <c r="E30" i="146"/>
  <c r="D30" i="146"/>
  <c r="G29" i="146"/>
  <c r="F29" i="146"/>
  <c r="I29" i="146" s="1"/>
  <c r="E29" i="146"/>
  <c r="D29" i="146"/>
  <c r="G26" i="146"/>
  <c r="F26" i="146"/>
  <c r="E26" i="146"/>
  <c r="D26" i="146"/>
  <c r="G25" i="146"/>
  <c r="F25" i="146"/>
  <c r="I25" i="146" s="1"/>
  <c r="E25" i="146"/>
  <c r="D25" i="146"/>
  <c r="G24" i="146"/>
  <c r="F24" i="146"/>
  <c r="I24" i="146" s="1"/>
  <c r="E24" i="146"/>
  <c r="D24" i="146"/>
  <c r="E19" i="146"/>
  <c r="D19" i="146"/>
  <c r="E18" i="146"/>
  <c r="D18" i="146"/>
  <c r="E17" i="146"/>
  <c r="D17" i="146"/>
  <c r="E12" i="146"/>
  <c r="D12" i="146"/>
  <c r="E11" i="146"/>
  <c r="D11" i="146"/>
  <c r="E10" i="146"/>
  <c r="D10" i="146"/>
  <c r="B20" i="159" l="1"/>
  <c r="B16" i="125" s="1"/>
  <c r="B14" i="125"/>
  <c r="B18" i="159"/>
  <c r="B13" i="125" s="1"/>
  <c r="B17" i="159"/>
  <c r="B12" i="125" s="1"/>
  <c r="B15" i="159"/>
  <c r="B11" i="125" s="1"/>
  <c r="B13" i="159"/>
  <c r="B9" i="125" s="1"/>
  <c r="B14" i="159"/>
  <c r="B10" i="125" s="1"/>
  <c r="F25" i="145"/>
  <c r="F34" i="149"/>
  <c r="I34" i="149" s="1"/>
  <c r="F34" i="152"/>
  <c r="I34" i="152" s="1"/>
  <c r="L13" i="117"/>
  <c r="L12" i="117"/>
  <c r="B13" i="117"/>
  <c r="B12" i="117"/>
  <c r="L15" i="117"/>
  <c r="L16" i="117"/>
  <c r="L14" i="117"/>
  <c r="L10" i="117"/>
  <c r="L11" i="117"/>
  <c r="L9" i="117"/>
  <c r="B15" i="117"/>
  <c r="B16" i="117"/>
  <c r="B11" i="117"/>
  <c r="B10" i="117"/>
  <c r="B9" i="117"/>
  <c r="G34" i="138"/>
  <c r="F35" i="138"/>
  <c r="I35" i="138" s="1"/>
  <c r="F34" i="138"/>
  <c r="I34" i="138" s="1"/>
  <c r="D34" i="138"/>
  <c r="G30" i="138"/>
  <c r="G31" i="138"/>
  <c r="G29" i="138"/>
  <c r="F30" i="138"/>
  <c r="I30" i="138" s="1"/>
  <c r="I30" i="145" s="1"/>
  <c r="F31" i="138"/>
  <c r="I31" i="138" s="1"/>
  <c r="I31" i="145" s="1"/>
  <c r="F29" i="138"/>
  <c r="I29" i="138" s="1"/>
  <c r="I29" i="145" s="1"/>
  <c r="E30" i="138"/>
  <c r="E31" i="138"/>
  <c r="E29" i="138"/>
  <c r="D30" i="138"/>
  <c r="D31" i="138"/>
  <c r="D29" i="138"/>
  <c r="G25" i="138"/>
  <c r="G26" i="138"/>
  <c r="G24" i="138"/>
  <c r="F25" i="138"/>
  <c r="I25" i="138" s="1"/>
  <c r="I25" i="145" s="1"/>
  <c r="F26" i="138"/>
  <c r="I26" i="138" s="1"/>
  <c r="F24" i="138"/>
  <c r="I24" i="138" s="1"/>
  <c r="I24" i="145" s="1"/>
  <c r="E25" i="138"/>
  <c r="E26" i="138"/>
  <c r="E24" i="138"/>
  <c r="D25" i="138"/>
  <c r="D26" i="138"/>
  <c r="D24" i="138"/>
  <c r="I34" i="145" l="1"/>
  <c r="F14" i="115"/>
  <c r="F20" i="115" l="1"/>
  <c r="F19" i="115"/>
  <c r="B1" i="125"/>
  <c r="E43" i="145"/>
  <c r="G35" i="145"/>
  <c r="F35" i="145"/>
  <c r="E35" i="145"/>
  <c r="D35" i="145"/>
  <c r="G34" i="145"/>
  <c r="F34" i="145"/>
  <c r="E34" i="145"/>
  <c r="D34" i="145"/>
  <c r="F29" i="145"/>
  <c r="E19" i="145"/>
  <c r="D19" i="145"/>
  <c r="E18" i="145"/>
  <c r="D18" i="145"/>
  <c r="E17" i="145"/>
  <c r="D17" i="145"/>
  <c r="E12" i="145"/>
  <c r="D12" i="145"/>
  <c r="E11" i="145"/>
  <c r="D11" i="145"/>
  <c r="E10" i="145"/>
  <c r="D10" i="145"/>
  <c r="C1" i="145"/>
  <c r="E19" i="138"/>
  <c r="D19" i="138"/>
  <c r="C2" i="138"/>
  <c r="B12" i="159" s="1"/>
  <c r="B8" i="125" s="1"/>
  <c r="E43" i="138"/>
  <c r="G35" i="138"/>
  <c r="E35" i="138"/>
  <c r="D35" i="138"/>
  <c r="E34" i="138"/>
  <c r="E18" i="138"/>
  <c r="D18" i="138"/>
  <c r="E17" i="138"/>
  <c r="D17" i="138"/>
  <c r="E12" i="138"/>
  <c r="D12" i="138"/>
  <c r="E11" i="138"/>
  <c r="D11" i="138"/>
  <c r="E10" i="138"/>
  <c r="D10" i="138"/>
  <c r="J38" i="146" l="1"/>
  <c r="J39" i="138"/>
  <c r="J38" i="150"/>
  <c r="J38" i="138"/>
  <c r="J38" i="153"/>
  <c r="J39" i="150"/>
  <c r="J39" i="146"/>
  <c r="J39" i="152"/>
  <c r="J38" i="147"/>
  <c r="J39" i="147"/>
  <c r="J38" i="151"/>
  <c r="J38" i="161"/>
  <c r="J39" i="153"/>
  <c r="J39" i="149"/>
  <c r="J38" i="152"/>
  <c r="J37" i="152" s="1"/>
  <c r="J39" i="161"/>
  <c r="J38" i="149"/>
  <c r="J39" i="151"/>
  <c r="J43" i="152"/>
  <c r="J43" i="161"/>
  <c r="J43" i="149"/>
  <c r="J42" i="149" s="1"/>
  <c r="J40" i="149" s="1"/>
  <c r="J43" i="150"/>
  <c r="J43" i="147"/>
  <c r="J42" i="147" s="1"/>
  <c r="J40" i="147" s="1"/>
  <c r="J43" i="151"/>
  <c r="J35" i="161"/>
  <c r="J29" i="161"/>
  <c r="J34" i="161"/>
  <c r="J33" i="161" s="1"/>
  <c r="J26" i="161"/>
  <c r="J24" i="161"/>
  <c r="J31" i="161"/>
  <c r="J25" i="161"/>
  <c r="J23" i="161" s="1"/>
  <c r="J30" i="161"/>
  <c r="J25" i="152"/>
  <c r="J26" i="151"/>
  <c r="J29" i="153"/>
  <c r="J24" i="152"/>
  <c r="J26" i="152"/>
  <c r="J23" i="152" s="1"/>
  <c r="J31" i="153"/>
  <c r="J35" i="151"/>
  <c r="J24" i="147"/>
  <c r="J29" i="149"/>
  <c r="J25" i="151"/>
  <c r="J30" i="149"/>
  <c r="J26" i="147"/>
  <c r="J35" i="153"/>
  <c r="J35" i="149"/>
  <c r="J29" i="152"/>
  <c r="J31" i="151"/>
  <c r="J26" i="153"/>
  <c r="J24" i="151"/>
  <c r="J30" i="146"/>
  <c r="J28" i="146" s="1"/>
  <c r="J29" i="147"/>
  <c r="J31" i="152"/>
  <c r="J30" i="153"/>
  <c r="J28" i="153" s="1"/>
  <c r="J34" i="153"/>
  <c r="J33" i="153" s="1"/>
  <c r="J34" i="146"/>
  <c r="J31" i="147"/>
  <c r="J35" i="146"/>
  <c r="J30" i="151"/>
  <c r="J24" i="153"/>
  <c r="J29" i="151"/>
  <c r="J25" i="150"/>
  <c r="J34" i="150"/>
  <c r="J25" i="147"/>
  <c r="J31" i="146"/>
  <c r="J34" i="147"/>
  <c r="J31" i="150"/>
  <c r="J35" i="152"/>
  <c r="J25" i="149"/>
  <c r="J35" i="150"/>
  <c r="J29" i="150"/>
  <c r="J25" i="153"/>
  <c r="J31" i="149"/>
  <c r="J29" i="146"/>
  <c r="J24" i="149"/>
  <c r="J24" i="146"/>
  <c r="J24" i="150"/>
  <c r="J26" i="150"/>
  <c r="J34" i="151"/>
  <c r="J30" i="152"/>
  <c r="J28" i="152" s="1"/>
  <c r="J26" i="149"/>
  <c r="J25" i="146"/>
  <c r="J30" i="150"/>
  <c r="J30" i="147"/>
  <c r="J26" i="138"/>
  <c r="J25" i="138"/>
  <c r="J29" i="138"/>
  <c r="J35" i="138"/>
  <c r="J30" i="138"/>
  <c r="J34" i="152"/>
  <c r="J33" i="152" s="1"/>
  <c r="J24" i="138"/>
  <c r="J23" i="138" s="1"/>
  <c r="J31" i="138"/>
  <c r="J34" i="138"/>
  <c r="J34" i="149"/>
  <c r="J33" i="149" s="1"/>
  <c r="J37" i="138"/>
  <c r="J28" i="161"/>
  <c r="J23" i="149" l="1"/>
  <c r="J28" i="150"/>
  <c r="J37" i="149"/>
  <c r="J37" i="161"/>
  <c r="J23" i="153"/>
  <c r="J33" i="151"/>
  <c r="J23" i="151"/>
  <c r="J33" i="146"/>
  <c r="J24" i="145"/>
  <c r="J34" i="145"/>
  <c r="J33" i="138"/>
  <c r="J30" i="145"/>
  <c r="J28" i="138"/>
  <c r="J37" i="147"/>
  <c r="J25" i="145"/>
  <c r="J23" i="150"/>
  <c r="J21" i="138"/>
  <c r="J37" i="150"/>
  <c r="J31" i="145"/>
  <c r="J38" i="145"/>
  <c r="J39" i="145"/>
  <c r="J37" i="153"/>
  <c r="J21" i="153" s="1"/>
  <c r="J28" i="149"/>
  <c r="J21" i="149" s="1"/>
  <c r="J37" i="146"/>
  <c r="J28" i="147"/>
  <c r="J37" i="151"/>
  <c r="J29" i="145"/>
  <c r="J33" i="150"/>
  <c r="J23" i="147"/>
  <c r="J21" i="161"/>
  <c r="J21" i="152"/>
  <c r="C40" i="95"/>
  <c r="C27" i="95"/>
  <c r="C15" i="95"/>
  <c r="C17" i="95" s="1"/>
  <c r="C20" i="95" s="1"/>
  <c r="C22" i="95" s="1"/>
  <c r="J37" i="145" l="1"/>
  <c r="J28" i="145"/>
  <c r="C24" i="95"/>
  <c r="C19" i="95" s="1"/>
  <c r="J42" i="150"/>
  <c r="J40" i="150" s="1"/>
  <c r="J21" i="150" s="1"/>
  <c r="J28" i="151" l="1"/>
  <c r="J21" i="151" s="1"/>
  <c r="B14" i="117" l="1"/>
  <c r="H4" i="54" l="1"/>
  <c r="I4" i="165" l="1"/>
  <c r="B6" i="116"/>
  <c r="C5" i="159"/>
  <c r="C3" i="161"/>
  <c r="C6" i="159"/>
  <c r="C4" i="161"/>
  <c r="K2" i="161"/>
  <c r="C3" i="149"/>
  <c r="C3" i="146"/>
  <c r="C3" i="153"/>
  <c r="C3" i="151"/>
  <c r="C3" i="150"/>
  <c r="C3" i="147"/>
  <c r="C3" i="152"/>
  <c r="C4" i="146"/>
  <c r="C4" i="150"/>
  <c r="C4" i="151"/>
  <c r="C4" i="147"/>
  <c r="C4" i="153"/>
  <c r="C4" i="152"/>
  <c r="C4" i="149"/>
  <c r="I4" i="110"/>
  <c r="K2" i="152"/>
  <c r="K2" i="149"/>
  <c r="K2" i="146"/>
  <c r="F4" i="129"/>
  <c r="K2" i="151"/>
  <c r="K2" i="147"/>
  <c r="K2" i="153"/>
  <c r="K2" i="150"/>
  <c r="C4" i="145"/>
  <c r="C4" i="138"/>
  <c r="C3" i="145"/>
  <c r="C3" i="138"/>
  <c r="K2" i="145"/>
  <c r="K2" i="138"/>
  <c r="B6" i="129"/>
  <c r="B5" i="129"/>
  <c r="B4" i="125"/>
  <c r="B5" i="125"/>
  <c r="E3" i="125"/>
  <c r="B4" i="117"/>
  <c r="B5" i="115"/>
  <c r="B5" i="117"/>
  <c r="B6" i="115"/>
  <c r="L4" i="116"/>
  <c r="L3" i="117"/>
  <c r="F4" i="115"/>
  <c r="J3" i="82" l="1"/>
  <c r="D6" i="110" l="1"/>
  <c r="D5" i="110"/>
  <c r="B6" i="95" l="1"/>
  <c r="B5" i="95"/>
  <c r="H4" i="95"/>
  <c r="C5" i="82"/>
  <c r="C4" i="82"/>
  <c r="C29" i="95"/>
  <c r="C34" i="95"/>
  <c r="C31" i="95" s="1"/>
  <c r="C36" i="95"/>
  <c r="C35" i="95" s="1"/>
  <c r="C26" i="95" l="1"/>
  <c r="C49" i="95" s="1"/>
  <c r="C10" i="95"/>
  <c r="I10" i="110" l="1"/>
  <c r="I12" i="110" s="1"/>
  <c r="I10" i="165"/>
  <c r="I11" i="165"/>
  <c r="L5" i="116"/>
  <c r="F21" i="82"/>
  <c r="F22" i="82"/>
  <c r="F14" i="82"/>
  <c r="J14" i="82" s="1"/>
  <c r="F11" i="161" s="1"/>
  <c r="F20" i="82"/>
  <c r="F15" i="82"/>
  <c r="J15" i="82" s="1"/>
  <c r="F13" i="82"/>
  <c r="J20" i="82"/>
  <c r="F17" i="161" s="1"/>
  <c r="J22" i="82"/>
  <c r="F19" i="161" s="1"/>
  <c r="J21" i="82"/>
  <c r="F18" i="161" s="1"/>
  <c r="L79" i="28"/>
  <c r="F19" i="28"/>
  <c r="F20" i="28"/>
  <c r="F76" i="28"/>
  <c r="E76" i="28"/>
  <c r="B76" i="28"/>
  <c r="E75" i="28"/>
  <c r="G75" i="28" s="1"/>
  <c r="F74" i="28"/>
  <c r="E74" i="28"/>
  <c r="B74" i="28"/>
  <c r="F73" i="28"/>
  <c r="E73" i="28"/>
  <c r="B73" i="28"/>
  <c r="F72" i="28"/>
  <c r="E72" i="28"/>
  <c r="B72" i="28"/>
  <c r="F70" i="28"/>
  <c r="E70" i="28"/>
  <c r="B70" i="28"/>
  <c r="F69" i="28"/>
  <c r="E69" i="28"/>
  <c r="B69" i="28"/>
  <c r="F68" i="28"/>
  <c r="E68" i="28"/>
  <c r="B68" i="28"/>
  <c r="F67" i="28"/>
  <c r="E67" i="28"/>
  <c r="B67" i="28"/>
  <c r="F66" i="28"/>
  <c r="E66" i="28"/>
  <c r="B66" i="28"/>
  <c r="E65" i="28"/>
  <c r="G65" i="28" s="1"/>
  <c r="E64" i="28"/>
  <c r="G64" i="28" s="1"/>
  <c r="E63" i="28"/>
  <c r="G63" i="28" s="1"/>
  <c r="F61" i="28"/>
  <c r="E61" i="28"/>
  <c r="B61" i="28"/>
  <c r="F60" i="28"/>
  <c r="E60" i="28"/>
  <c r="B60" i="28"/>
  <c r="F59" i="28"/>
  <c r="E59" i="28"/>
  <c r="B59" i="28"/>
  <c r="F58" i="28"/>
  <c r="E58" i="28"/>
  <c r="B58" i="28"/>
  <c r="F57" i="28"/>
  <c r="E57" i="28"/>
  <c r="B57" i="28"/>
  <c r="F56" i="28"/>
  <c r="E56" i="28"/>
  <c r="B56" i="28"/>
  <c r="F55" i="28"/>
  <c r="E55" i="28"/>
  <c r="B55" i="28"/>
  <c r="E54" i="28"/>
  <c r="G54" i="28" s="1"/>
  <c r="E53" i="28"/>
  <c r="G53" i="28" s="1"/>
  <c r="E52" i="28"/>
  <c r="G52" i="28" s="1"/>
  <c r="F50" i="28"/>
  <c r="E50" i="28"/>
  <c r="B50" i="28"/>
  <c r="F49" i="28"/>
  <c r="E49" i="28"/>
  <c r="B49" i="28"/>
  <c r="F48" i="28"/>
  <c r="E48" i="28"/>
  <c r="B48" i="28"/>
  <c r="F47" i="28"/>
  <c r="E47" i="28"/>
  <c r="B47" i="28"/>
  <c r="F46" i="28"/>
  <c r="E46" i="28"/>
  <c r="B46" i="28"/>
  <c r="F45" i="28"/>
  <c r="E45" i="28"/>
  <c r="B45" i="28"/>
  <c r="F44" i="28"/>
  <c r="E44" i="28"/>
  <c r="B44" i="28"/>
  <c r="E43" i="28"/>
  <c r="G43" i="28" s="1"/>
  <c r="E42" i="28"/>
  <c r="G42" i="28" s="1"/>
  <c r="E41" i="28"/>
  <c r="G41" i="28" s="1"/>
  <c r="F39" i="28"/>
  <c r="E39" i="28"/>
  <c r="B39" i="28"/>
  <c r="F38" i="28"/>
  <c r="E38" i="28"/>
  <c r="B38" i="28"/>
  <c r="F37" i="28"/>
  <c r="E37" i="28"/>
  <c r="B37" i="28"/>
  <c r="F36" i="28"/>
  <c r="E36" i="28"/>
  <c r="B36" i="28"/>
  <c r="F35" i="28"/>
  <c r="E35" i="28"/>
  <c r="B35" i="28"/>
  <c r="F34" i="28"/>
  <c r="E34" i="28"/>
  <c r="B34" i="28"/>
  <c r="E33" i="28"/>
  <c r="G33" i="28" s="1"/>
  <c r="E32" i="28"/>
  <c r="G32" i="28" s="1"/>
  <c r="E31" i="28"/>
  <c r="G31" i="28" s="1"/>
  <c r="F29" i="28"/>
  <c r="E29" i="28"/>
  <c r="B29" i="28"/>
  <c r="F28" i="28"/>
  <c r="E28" i="28"/>
  <c r="B28" i="28"/>
  <c r="F27" i="28"/>
  <c r="E27" i="28"/>
  <c r="B27" i="28"/>
  <c r="F26" i="28"/>
  <c r="E26" i="28"/>
  <c r="B26" i="28"/>
  <c r="F25" i="28"/>
  <c r="E25" i="28"/>
  <c r="B25" i="28"/>
  <c r="E24" i="28"/>
  <c r="G24" i="28" s="1"/>
  <c r="O23" i="28"/>
  <c r="P23" i="28" s="1"/>
  <c r="E23" i="28"/>
  <c r="G23" i="28" s="1"/>
  <c r="O22" i="28"/>
  <c r="P22" i="28" s="1"/>
  <c r="E22" i="28"/>
  <c r="G22" i="28" s="1"/>
  <c r="E20" i="28"/>
  <c r="B20" i="28"/>
  <c r="E19" i="28"/>
  <c r="B19" i="28"/>
  <c r="F18" i="28"/>
  <c r="E18" i="28"/>
  <c r="B18" i="28"/>
  <c r="F12" i="152" l="1"/>
  <c r="F12" i="149"/>
  <c r="I13" i="165"/>
  <c r="D11" i="117"/>
  <c r="I13" i="110"/>
  <c r="K14" i="116"/>
  <c r="H19" i="152" s="1"/>
  <c r="E13" i="116"/>
  <c r="J10" i="116"/>
  <c r="H11" i="161" s="1"/>
  <c r="I11" i="161" s="1"/>
  <c r="J11" i="161" s="1"/>
  <c r="H13" i="116"/>
  <c r="H18" i="151" s="1"/>
  <c r="H9" i="116"/>
  <c r="H10" i="151" s="1"/>
  <c r="G12" i="116"/>
  <c r="H17" i="150" s="1"/>
  <c r="E14" i="116"/>
  <c r="J12" i="116"/>
  <c r="H17" i="161" s="1"/>
  <c r="I17" i="161" s="1"/>
  <c r="J17" i="161" s="1"/>
  <c r="G13" i="116"/>
  <c r="H18" i="150" s="1"/>
  <c r="C13" i="116"/>
  <c r="G10" i="116"/>
  <c r="H11" i="150" s="1"/>
  <c r="E12" i="116"/>
  <c r="J13" i="116"/>
  <c r="H18" i="161" s="1"/>
  <c r="I18" i="161" s="1"/>
  <c r="J18" i="161" s="1"/>
  <c r="E9" i="116"/>
  <c r="H10" i="147" s="1"/>
  <c r="G9" i="116"/>
  <c r="H10" i="150" s="1"/>
  <c r="F10" i="116"/>
  <c r="H11" i="149" s="1"/>
  <c r="D12" i="116"/>
  <c r="I12" i="116"/>
  <c r="H17" i="153" s="1"/>
  <c r="D13" i="116"/>
  <c r="I13" i="116"/>
  <c r="H18" i="153" s="1"/>
  <c r="I14" i="116"/>
  <c r="H19" i="153" s="1"/>
  <c r="D9" i="116"/>
  <c r="H10" i="146" s="1"/>
  <c r="I9" i="116"/>
  <c r="H10" i="153" s="1"/>
  <c r="F9" i="116"/>
  <c r="H10" i="149" s="1"/>
  <c r="E10" i="116"/>
  <c r="H11" i="147" s="1"/>
  <c r="C14" i="116"/>
  <c r="C10" i="116"/>
  <c r="E11" i="116"/>
  <c r="H12" i="147" s="1"/>
  <c r="K12" i="116"/>
  <c r="H17" i="152" s="1"/>
  <c r="K13" i="116"/>
  <c r="H18" i="152" s="1"/>
  <c r="J14" i="116"/>
  <c r="H19" i="161" s="1"/>
  <c r="I19" i="161" s="1"/>
  <c r="J19" i="161" s="1"/>
  <c r="G14" i="116"/>
  <c r="H19" i="150" s="1"/>
  <c r="D10" i="116"/>
  <c r="H11" i="146" s="1"/>
  <c r="J9" i="116"/>
  <c r="H10" i="161" s="1"/>
  <c r="I10" i="116"/>
  <c r="H11" i="153" s="1"/>
  <c r="F12" i="116"/>
  <c r="H17" i="149" s="1"/>
  <c r="D14" i="116"/>
  <c r="F13" i="116"/>
  <c r="H18" i="149" s="1"/>
  <c r="F14" i="116"/>
  <c r="H19" i="149" s="1"/>
  <c r="H10" i="116"/>
  <c r="H11" i="151" s="1"/>
  <c r="C12" i="116"/>
  <c r="H12" i="116"/>
  <c r="H17" i="151" s="1"/>
  <c r="H14" i="116"/>
  <c r="H19" i="151" s="1"/>
  <c r="C9" i="116"/>
  <c r="K9" i="116"/>
  <c r="H10" i="152" s="1"/>
  <c r="K10" i="116"/>
  <c r="H11" i="152" s="1"/>
  <c r="C11" i="116"/>
  <c r="G11" i="116"/>
  <c r="H12" i="150" s="1"/>
  <c r="J11" i="116"/>
  <c r="H12" i="161" s="1"/>
  <c r="D11" i="116"/>
  <c r="H12" i="146" s="1"/>
  <c r="H11" i="116"/>
  <c r="H12" i="151" s="1"/>
  <c r="K11" i="116"/>
  <c r="H12" i="152" s="1"/>
  <c r="F11" i="116"/>
  <c r="H12" i="149" s="1"/>
  <c r="I11" i="116"/>
  <c r="H12" i="153" s="1"/>
  <c r="F11" i="146"/>
  <c r="F11" i="151"/>
  <c r="F11" i="152"/>
  <c r="F11" i="150"/>
  <c r="F11" i="153"/>
  <c r="F11" i="147"/>
  <c r="F11" i="149"/>
  <c r="F12" i="146"/>
  <c r="F12" i="153"/>
  <c r="F12" i="151"/>
  <c r="F10" i="161"/>
  <c r="F10" i="146"/>
  <c r="F10" i="152"/>
  <c r="F10" i="153"/>
  <c r="F10" i="147"/>
  <c r="F10" i="149"/>
  <c r="F10" i="151"/>
  <c r="F10" i="150"/>
  <c r="F10" i="145"/>
  <c r="F11" i="145"/>
  <c r="F12" i="150"/>
  <c r="F12" i="161"/>
  <c r="F10" i="138"/>
  <c r="F11" i="138"/>
  <c r="F12" i="138"/>
  <c r="F12" i="147"/>
  <c r="F12" i="145"/>
  <c r="F19" i="153"/>
  <c r="F19" i="150"/>
  <c r="F19" i="147"/>
  <c r="F19" i="152"/>
  <c r="F19" i="151"/>
  <c r="F19" i="149"/>
  <c r="F19" i="146"/>
  <c r="F18" i="153"/>
  <c r="F18" i="150"/>
  <c r="F18" i="152"/>
  <c r="F18" i="147"/>
  <c r="F18" i="151"/>
  <c r="F18" i="149"/>
  <c r="F18" i="146"/>
  <c r="F17" i="152"/>
  <c r="F17" i="147"/>
  <c r="F17" i="146"/>
  <c r="F17" i="151"/>
  <c r="F17" i="149"/>
  <c r="F17" i="153"/>
  <c r="F17" i="150"/>
  <c r="F18" i="145"/>
  <c r="F18" i="138"/>
  <c r="F17" i="145"/>
  <c r="F17" i="138"/>
  <c r="F19" i="145"/>
  <c r="F19" i="138"/>
  <c r="G69" i="28"/>
  <c r="G74" i="28"/>
  <c r="G76" i="28"/>
  <c r="G37" i="28"/>
  <c r="G45" i="28"/>
  <c r="G49" i="28"/>
  <c r="G57" i="28"/>
  <c r="G61" i="28"/>
  <c r="G29" i="28"/>
  <c r="G48" i="28"/>
  <c r="G73" i="28"/>
  <c r="G28" i="28"/>
  <c r="G35" i="28"/>
  <c r="G39" i="28"/>
  <c r="G47" i="28"/>
  <c r="G55" i="28"/>
  <c r="G51" i="28" s="1"/>
  <c r="G59" i="28"/>
  <c r="G67" i="28"/>
  <c r="G72" i="28"/>
  <c r="G71" i="28" s="1"/>
  <c r="G80" i="28" s="1"/>
  <c r="G81" i="28" s="1"/>
  <c r="G25" i="28"/>
  <c r="G21" i="28" s="1"/>
  <c r="G44" i="28"/>
  <c r="G40" i="28" s="1"/>
  <c r="G68" i="28"/>
  <c r="G27" i="28"/>
  <c r="G34" i="28"/>
  <c r="G30" i="28" s="1"/>
  <c r="G38" i="28"/>
  <c r="G58" i="28"/>
  <c r="G18" i="28"/>
  <c r="G17" i="28" s="1"/>
  <c r="B17" i="34" s="1"/>
  <c r="G26" i="28"/>
  <c r="G36" i="28"/>
  <c r="G46" i="28"/>
  <c r="G50" i="28"/>
  <c r="G56" i="28"/>
  <c r="G60" i="28"/>
  <c r="G66" i="28"/>
  <c r="G62" i="28" s="1"/>
  <c r="G70" i="28"/>
  <c r="G19" i="28"/>
  <c r="G20" i="28"/>
  <c r="E13" i="117" l="1"/>
  <c r="I14" i="165"/>
  <c r="I11" i="153"/>
  <c r="J11" i="153" s="1"/>
  <c r="I12" i="149"/>
  <c r="J12" i="149" s="1"/>
  <c r="I12" i="152"/>
  <c r="J12" i="152" s="1"/>
  <c r="I11" i="146"/>
  <c r="J11" i="146" s="1"/>
  <c r="I12" i="161"/>
  <c r="J12" i="161" s="1"/>
  <c r="I12" i="150"/>
  <c r="J12" i="150" s="1"/>
  <c r="I19" i="152"/>
  <c r="J19" i="152" s="1"/>
  <c r="I11" i="147"/>
  <c r="J11" i="147" s="1"/>
  <c r="I11" i="150"/>
  <c r="J11" i="150" s="1"/>
  <c r="H26" i="146"/>
  <c r="H26" i="145" s="1"/>
  <c r="K11" i="117"/>
  <c r="H35" i="147"/>
  <c r="H35" i="145" s="1"/>
  <c r="K13" i="117"/>
  <c r="I10" i="146"/>
  <c r="J10" i="146" s="1"/>
  <c r="I18" i="149"/>
  <c r="J18" i="149" s="1"/>
  <c r="I18" i="153"/>
  <c r="J18" i="153" s="1"/>
  <c r="I18" i="152"/>
  <c r="J18" i="152" s="1"/>
  <c r="I10" i="153"/>
  <c r="J10" i="153" s="1"/>
  <c r="I19" i="153"/>
  <c r="J19" i="153" s="1"/>
  <c r="I18" i="150"/>
  <c r="J18" i="150" s="1"/>
  <c r="I19" i="149"/>
  <c r="J19" i="149" s="1"/>
  <c r="I12" i="147"/>
  <c r="J12" i="147" s="1"/>
  <c r="I19" i="150"/>
  <c r="J19" i="150" s="1"/>
  <c r="I12" i="146"/>
  <c r="J12" i="146" s="1"/>
  <c r="I10" i="150"/>
  <c r="J10" i="150" s="1"/>
  <c r="I10" i="149"/>
  <c r="J10" i="149" s="1"/>
  <c r="I10" i="161"/>
  <c r="J10" i="161" s="1"/>
  <c r="I17" i="149"/>
  <c r="J17" i="149" s="1"/>
  <c r="I12" i="151"/>
  <c r="J12" i="151" s="1"/>
  <c r="I17" i="150"/>
  <c r="J17" i="150" s="1"/>
  <c r="I10" i="147"/>
  <c r="J10" i="147" s="1"/>
  <c r="I10" i="151"/>
  <c r="J10" i="151" s="1"/>
  <c r="I17" i="151"/>
  <c r="J17" i="151" s="1"/>
  <c r="I11" i="149"/>
  <c r="J11" i="149" s="1"/>
  <c r="I18" i="151"/>
  <c r="J18" i="151" s="1"/>
  <c r="I19" i="151"/>
  <c r="J19" i="151" s="1"/>
  <c r="I11" i="151"/>
  <c r="J11" i="151" s="1"/>
  <c r="I11" i="152"/>
  <c r="J11" i="152" s="1"/>
  <c r="I10" i="152"/>
  <c r="J10" i="152" s="1"/>
  <c r="I17" i="152"/>
  <c r="J17" i="152" s="1"/>
  <c r="I17" i="153"/>
  <c r="J17" i="153" s="1"/>
  <c r="I12" i="153"/>
  <c r="J12" i="153" s="1"/>
  <c r="J16" i="161"/>
  <c r="J14" i="161" s="1"/>
  <c r="H19" i="138"/>
  <c r="L14" i="116"/>
  <c r="M14" i="116" s="1"/>
  <c r="H19" i="146"/>
  <c r="I19" i="146" s="1"/>
  <c r="J19" i="146" s="1"/>
  <c r="H19" i="147"/>
  <c r="I19" i="147" s="1"/>
  <c r="J19" i="147" s="1"/>
  <c r="H17" i="146"/>
  <c r="I17" i="146" s="1"/>
  <c r="J17" i="146" s="1"/>
  <c r="H17" i="147"/>
  <c r="I17" i="147" s="1"/>
  <c r="J17" i="147" s="1"/>
  <c r="H10" i="138"/>
  <c r="H10" i="145" s="1"/>
  <c r="L9" i="116"/>
  <c r="H11" i="138"/>
  <c r="H11" i="145" s="1"/>
  <c r="L10" i="116"/>
  <c r="M10" i="116" s="1"/>
  <c r="H18" i="138"/>
  <c r="L13" i="116"/>
  <c r="M13" i="116" s="1"/>
  <c r="H12" i="138"/>
  <c r="H12" i="145" s="1"/>
  <c r="L11" i="116"/>
  <c r="M11" i="116" s="1"/>
  <c r="H18" i="147"/>
  <c r="I18" i="147" s="1"/>
  <c r="J18" i="147" s="1"/>
  <c r="H18" i="146"/>
  <c r="I18" i="146" s="1"/>
  <c r="J18" i="146" s="1"/>
  <c r="H17" i="138"/>
  <c r="H17" i="145" s="1"/>
  <c r="L12" i="116"/>
  <c r="M12" i="116" s="1"/>
  <c r="B19" i="34"/>
  <c r="E20" i="34" s="1"/>
  <c r="E27" i="34" s="1"/>
  <c r="G77" i="28"/>
  <c r="G78" i="28" s="1"/>
  <c r="B25" i="34"/>
  <c r="H26" i="34" s="1"/>
  <c r="H27" i="34" s="1"/>
  <c r="B23" i="34"/>
  <c r="G24" i="34" s="1"/>
  <c r="G27" i="34" s="1"/>
  <c r="B15" i="34"/>
  <c r="C16" i="34" s="1"/>
  <c r="C27" i="34" s="1"/>
  <c r="H28" i="34" s="1"/>
  <c r="G82" i="28"/>
  <c r="B21" i="34"/>
  <c r="F22" i="34" s="1"/>
  <c r="F27" i="34" s="1"/>
  <c r="D18" i="34"/>
  <c r="D27" i="34" s="1"/>
  <c r="H18" i="145" l="1"/>
  <c r="H19" i="145"/>
  <c r="L10" i="145"/>
  <c r="M9" i="116"/>
  <c r="I35" i="147"/>
  <c r="I26" i="146"/>
  <c r="I17" i="138"/>
  <c r="I11" i="138"/>
  <c r="I19" i="138"/>
  <c r="I18" i="138"/>
  <c r="I10" i="138"/>
  <c r="I12" i="138"/>
  <c r="J9" i="150"/>
  <c r="J7" i="150" s="1"/>
  <c r="J9" i="152"/>
  <c r="J7" i="152" s="1"/>
  <c r="J9" i="151"/>
  <c r="J7" i="151" s="1"/>
  <c r="J16" i="150"/>
  <c r="J14" i="150" s="1"/>
  <c r="J16" i="146"/>
  <c r="J14" i="146" s="1"/>
  <c r="J16" i="149"/>
  <c r="J14" i="149" s="1"/>
  <c r="J9" i="149"/>
  <c r="J7" i="149" s="1"/>
  <c r="J9" i="161"/>
  <c r="J7" i="161" s="1"/>
  <c r="J9" i="147"/>
  <c r="J7" i="147" s="1"/>
  <c r="J9" i="146"/>
  <c r="J7" i="146" s="1"/>
  <c r="J9" i="153"/>
  <c r="J7" i="153" s="1"/>
  <c r="J16" i="152"/>
  <c r="J14" i="152" s="1"/>
  <c r="J16" i="153"/>
  <c r="J14" i="153" s="1"/>
  <c r="J16" i="151"/>
  <c r="J14" i="151" s="1"/>
  <c r="E28" i="34"/>
  <c r="E30" i="34" s="1"/>
  <c r="G29" i="34"/>
  <c r="D28" i="34"/>
  <c r="D30" i="34" s="1"/>
  <c r="F28" i="34"/>
  <c r="F30" i="34" s="1"/>
  <c r="G28" i="34"/>
  <c r="G30" i="34" s="1"/>
  <c r="C28" i="34"/>
  <c r="C30" i="34" s="1"/>
  <c r="C29" i="34"/>
  <c r="E29" i="34"/>
  <c r="F29" i="34"/>
  <c r="H30" i="34"/>
  <c r="D29" i="34"/>
  <c r="H29" i="34"/>
  <c r="J26" i="146" l="1"/>
  <c r="I26" i="145"/>
  <c r="J35" i="147"/>
  <c r="I35" i="145"/>
  <c r="J23" i="146"/>
  <c r="J21" i="146" s="1"/>
  <c r="J26" i="145"/>
  <c r="J23" i="145" s="1"/>
  <c r="J33" i="147"/>
  <c r="J21" i="147" s="1"/>
  <c r="J35" i="145"/>
  <c r="J33" i="145" s="1"/>
  <c r="J12" i="138"/>
  <c r="J12" i="145" s="1"/>
  <c r="I12" i="145"/>
  <c r="J10" i="138"/>
  <c r="J10" i="145" s="1"/>
  <c r="I10" i="145"/>
  <c r="J18" i="138"/>
  <c r="J18" i="145" s="1"/>
  <c r="I18" i="145"/>
  <c r="J19" i="138"/>
  <c r="J19" i="145" s="1"/>
  <c r="I19" i="145"/>
  <c r="J17" i="138"/>
  <c r="J17" i="145" s="1"/>
  <c r="I17" i="145"/>
  <c r="J11" i="138"/>
  <c r="J11" i="145" s="1"/>
  <c r="I11" i="145"/>
  <c r="J45" i="149"/>
  <c r="J16" i="147"/>
  <c r="J14" i="147" s="1"/>
  <c r="J45" i="150"/>
  <c r="M8" i="116"/>
  <c r="J21" i="145" l="1"/>
  <c r="J16" i="145"/>
  <c r="J45" i="147"/>
  <c r="J16" i="138"/>
  <c r="J14" i="138" s="1"/>
  <c r="J9" i="145"/>
  <c r="J7" i="145" s="1"/>
  <c r="J9" i="138"/>
  <c r="J7" i="138" s="1"/>
  <c r="K34" i="149"/>
  <c r="K12" i="149"/>
  <c r="K21" i="149"/>
  <c r="K31" i="149"/>
  <c r="K35" i="149"/>
  <c r="K10" i="149"/>
  <c r="K38" i="149"/>
  <c r="K26" i="149"/>
  <c r="K30" i="149"/>
  <c r="K29" i="149"/>
  <c r="K11" i="149"/>
  <c r="K43" i="149"/>
  <c r="K19" i="149"/>
  <c r="K18" i="149"/>
  <c r="K39" i="149"/>
  <c r="K24" i="149"/>
  <c r="K17" i="149"/>
  <c r="K25" i="149"/>
  <c r="D15" i="159"/>
  <c r="K24" i="147"/>
  <c r="K18" i="147"/>
  <c r="K12" i="147"/>
  <c r="K31" i="147"/>
  <c r="K19" i="147"/>
  <c r="K34" i="147"/>
  <c r="K26" i="147"/>
  <c r="K35" i="147"/>
  <c r="K30" i="147"/>
  <c r="K25" i="147"/>
  <c r="K17" i="147"/>
  <c r="K43" i="147"/>
  <c r="K39" i="147"/>
  <c r="K11" i="147"/>
  <c r="K38" i="147"/>
  <c r="K10" i="147"/>
  <c r="K29" i="147"/>
  <c r="D17" i="159"/>
  <c r="K38" i="150"/>
  <c r="K35" i="150"/>
  <c r="K34" i="150"/>
  <c r="K31" i="150"/>
  <c r="K17" i="150"/>
  <c r="K39" i="150"/>
  <c r="K30" i="150"/>
  <c r="K29" i="150"/>
  <c r="K18" i="150"/>
  <c r="K43" i="150"/>
  <c r="K26" i="150"/>
  <c r="K24" i="150"/>
  <c r="K19" i="150"/>
  <c r="K12" i="150"/>
  <c r="K11" i="150"/>
  <c r="K25" i="150"/>
  <c r="K10" i="150"/>
  <c r="D13" i="159"/>
  <c r="K37" i="149" l="1"/>
  <c r="K37" i="150"/>
  <c r="K37" i="147"/>
  <c r="J14" i="145"/>
  <c r="J42" i="161" l="1"/>
  <c r="J40" i="161" s="1"/>
  <c r="J45" i="161" s="1"/>
  <c r="F43" i="138"/>
  <c r="I43" i="138" s="1"/>
  <c r="F43" i="153"/>
  <c r="I43" i="153" s="1"/>
  <c r="J43" i="153" s="1"/>
  <c r="J43" i="138" l="1"/>
  <c r="D19" i="159"/>
  <c r="K26" i="161"/>
  <c r="K24" i="161"/>
  <c r="K10" i="161"/>
  <c r="K30" i="161"/>
  <c r="K25" i="161"/>
  <c r="K18" i="161"/>
  <c r="K39" i="161"/>
  <c r="K31" i="161"/>
  <c r="K34" i="161"/>
  <c r="K19" i="161"/>
  <c r="K17" i="161"/>
  <c r="K38" i="161"/>
  <c r="K35" i="161"/>
  <c r="K12" i="161"/>
  <c r="K43" i="161"/>
  <c r="K11" i="161"/>
  <c r="K29" i="161"/>
  <c r="J42" i="138"/>
  <c r="J42" i="153"/>
  <c r="J40" i="153" s="1"/>
  <c r="J45" i="153" s="1"/>
  <c r="D16" i="159" s="1"/>
  <c r="J42" i="152"/>
  <c r="J40" i="152" s="1"/>
  <c r="E12" i="125"/>
  <c r="F43" i="146"/>
  <c r="I43" i="146" s="1"/>
  <c r="J43" i="146" s="1"/>
  <c r="E11" i="125"/>
  <c r="I43" i="145" l="1"/>
  <c r="J43" i="145"/>
  <c r="J42" i="145" s="1"/>
  <c r="K39" i="153"/>
  <c r="K38" i="153"/>
  <c r="E14" i="125"/>
  <c r="K40" i="161"/>
  <c r="E15" i="125"/>
  <c r="K21" i="161"/>
  <c r="K7" i="161"/>
  <c r="K14" i="161"/>
  <c r="K40" i="150"/>
  <c r="J45" i="152"/>
  <c r="J42" i="151"/>
  <c r="J40" i="151" s="1"/>
  <c r="K43" i="152" l="1"/>
  <c r="K39" i="152"/>
  <c r="K11" i="152"/>
  <c r="K38" i="152"/>
  <c r="K35" i="152"/>
  <c r="K34" i="152"/>
  <c r="K24" i="152"/>
  <c r="K31" i="152"/>
  <c r="K30" i="152"/>
  <c r="K29" i="152"/>
  <c r="K26" i="152"/>
  <c r="K25" i="152"/>
  <c r="K19" i="152"/>
  <c r="K18" i="152"/>
  <c r="K17" i="152"/>
  <c r="K12" i="152"/>
  <c r="K10" i="152"/>
  <c r="J42" i="146"/>
  <c r="J40" i="146" s="1"/>
  <c r="J45" i="146" s="1"/>
  <c r="D20" i="159"/>
  <c r="K37" i="161"/>
  <c r="K37" i="153"/>
  <c r="E9" i="125"/>
  <c r="K40" i="152"/>
  <c r="E16" i="125"/>
  <c r="K42" i="161"/>
  <c r="K33" i="161"/>
  <c r="K23" i="161"/>
  <c r="K9" i="161"/>
  <c r="K45" i="161"/>
  <c r="K16" i="161"/>
  <c r="K28" i="161"/>
  <c r="K40" i="153"/>
  <c r="K14" i="149"/>
  <c r="K7" i="149"/>
  <c r="J45" i="151"/>
  <c r="K7" i="150"/>
  <c r="K14" i="150"/>
  <c r="K21" i="150"/>
  <c r="K35" i="153"/>
  <c r="K31" i="153"/>
  <c r="K18" i="153"/>
  <c r="K7" i="153"/>
  <c r="K24" i="153"/>
  <c r="K34" i="153"/>
  <c r="K21" i="153"/>
  <c r="K11" i="153"/>
  <c r="K12" i="153"/>
  <c r="K17" i="153"/>
  <c r="K10" i="153"/>
  <c r="K26" i="153"/>
  <c r="K25" i="153"/>
  <c r="K29" i="153"/>
  <c r="K19" i="153"/>
  <c r="K14" i="153"/>
  <c r="K30" i="153"/>
  <c r="K43" i="153"/>
  <c r="K40" i="149"/>
  <c r="K7" i="152"/>
  <c r="K21" i="152"/>
  <c r="K14" i="152"/>
  <c r="K34" i="151" l="1"/>
  <c r="K30" i="151"/>
  <c r="K25" i="151"/>
  <c r="K24" i="151"/>
  <c r="K10" i="151"/>
  <c r="K31" i="151"/>
  <c r="K29" i="151"/>
  <c r="K39" i="151"/>
  <c r="K35" i="151"/>
  <c r="K26" i="151"/>
  <c r="K11" i="151"/>
  <c r="K19" i="151"/>
  <c r="K18" i="151"/>
  <c r="K17" i="151"/>
  <c r="K12" i="151"/>
  <c r="K43" i="151"/>
  <c r="K42" i="151" s="1"/>
  <c r="K38" i="151"/>
  <c r="D14" i="159"/>
  <c r="K38" i="146"/>
  <c r="K10" i="146"/>
  <c r="K34" i="146"/>
  <c r="K24" i="146"/>
  <c r="K19" i="146"/>
  <c r="K39" i="146"/>
  <c r="K35" i="146"/>
  <c r="K11" i="146"/>
  <c r="K31" i="146"/>
  <c r="K30" i="146"/>
  <c r="K18" i="146"/>
  <c r="K29" i="146"/>
  <c r="K26" i="146"/>
  <c r="K25" i="146"/>
  <c r="K17" i="146"/>
  <c r="K12" i="146"/>
  <c r="K43" i="146"/>
  <c r="D18" i="159"/>
  <c r="K40" i="151"/>
  <c r="K33" i="149"/>
  <c r="K42" i="149"/>
  <c r="K37" i="152"/>
  <c r="K45" i="149"/>
  <c r="K21" i="146"/>
  <c r="K7" i="146"/>
  <c r="K14" i="146"/>
  <c r="K40" i="146"/>
  <c r="K16" i="149"/>
  <c r="K23" i="149"/>
  <c r="K28" i="149"/>
  <c r="K9" i="149"/>
  <c r="K40" i="147"/>
  <c r="E13" i="125"/>
  <c r="E10" i="125"/>
  <c r="K42" i="150"/>
  <c r="K33" i="153"/>
  <c r="K28" i="150"/>
  <c r="K33" i="150"/>
  <c r="K42" i="152"/>
  <c r="K23" i="152"/>
  <c r="K23" i="153"/>
  <c r="K16" i="153"/>
  <c r="K42" i="153"/>
  <c r="K9" i="150"/>
  <c r="K28" i="152"/>
  <c r="K33" i="152"/>
  <c r="K9" i="153"/>
  <c r="K23" i="150"/>
  <c r="K16" i="150"/>
  <c r="K28" i="153"/>
  <c r="K16" i="152"/>
  <c r="K9" i="152"/>
  <c r="K45" i="150"/>
  <c r="K45" i="153"/>
  <c r="K45" i="152"/>
  <c r="J40" i="145"/>
  <c r="J45" i="145" s="1"/>
  <c r="K7" i="147"/>
  <c r="K21" i="147"/>
  <c r="K14" i="147"/>
  <c r="K21" i="151"/>
  <c r="K7" i="151"/>
  <c r="K14" i="151"/>
  <c r="K38" i="145" l="1"/>
  <c r="K11" i="145"/>
  <c r="K43" i="145"/>
  <c r="K12" i="145"/>
  <c r="K26" i="145"/>
  <c r="K17" i="145"/>
  <c r="K39" i="145"/>
  <c r="K25" i="145"/>
  <c r="K18" i="145"/>
  <c r="K34" i="145"/>
  <c r="K10" i="145"/>
  <c r="K31" i="145"/>
  <c r="K24" i="145"/>
  <c r="K30" i="145"/>
  <c r="K35" i="145"/>
  <c r="K29" i="145"/>
  <c r="K19" i="145"/>
  <c r="K45" i="151"/>
  <c r="K37" i="151"/>
  <c r="K37" i="146"/>
  <c r="K42" i="146"/>
  <c r="K9" i="146"/>
  <c r="K16" i="146"/>
  <c r="K23" i="146"/>
  <c r="K33" i="147"/>
  <c r="K28" i="147"/>
  <c r="K28" i="146"/>
  <c r="K9" i="151"/>
  <c r="K42" i="147"/>
  <c r="K23" i="147"/>
  <c r="K33" i="146"/>
  <c r="K28" i="151"/>
  <c r="K16" i="151"/>
  <c r="K23" i="151"/>
  <c r="K16" i="147"/>
  <c r="K33" i="151"/>
  <c r="K9" i="147"/>
  <c r="K45" i="146"/>
  <c r="K45" i="147"/>
  <c r="K40" i="145"/>
  <c r="K37" i="145" l="1"/>
  <c r="K21" i="145"/>
  <c r="K14" i="145"/>
  <c r="K7" i="145"/>
  <c r="K16" i="145" l="1"/>
  <c r="K42" i="145"/>
  <c r="K23" i="145"/>
  <c r="K28" i="145"/>
  <c r="K9" i="145"/>
  <c r="K33" i="145"/>
  <c r="K45" i="145"/>
  <c r="J40" i="138"/>
  <c r="J45" i="138" s="1"/>
  <c r="K39" i="138" l="1"/>
  <c r="K11" i="138"/>
  <c r="K26" i="138"/>
  <c r="K19" i="138"/>
  <c r="K17" i="138"/>
  <c r="K38" i="138"/>
  <c r="K10" i="138"/>
  <c r="K35" i="138"/>
  <c r="K34" i="138"/>
  <c r="K25" i="138"/>
  <c r="K18" i="138"/>
  <c r="K31" i="138"/>
  <c r="K30" i="138"/>
  <c r="K29" i="138"/>
  <c r="K24" i="138"/>
  <c r="K12" i="138"/>
  <c r="K43" i="138"/>
  <c r="D12" i="159"/>
  <c r="K40" i="138"/>
  <c r="K7" i="138"/>
  <c r="K14" i="138"/>
  <c r="E8" i="125"/>
  <c r="K21" i="138"/>
  <c r="E17" i="125" l="1"/>
  <c r="K28" i="138"/>
  <c r="K37" i="138"/>
  <c r="K42" i="138"/>
  <c r="K45" i="138"/>
  <c r="K23" i="138"/>
  <c r="K33" i="138"/>
  <c r="K9" i="138"/>
  <c r="K16" i="138"/>
  <c r="D23" i="159"/>
  <c r="E12" i="159" s="1"/>
  <c r="D8" i="125" l="1"/>
  <c r="E17" i="159"/>
  <c r="E13" i="159"/>
  <c r="E19" i="159"/>
  <c r="E18" i="159"/>
  <c r="E14" i="159"/>
  <c r="E20" i="159"/>
  <c r="E15" i="159"/>
  <c r="E16" i="159"/>
  <c r="D14" i="125"/>
  <c r="D9" i="125"/>
  <c r="D16" i="125"/>
  <c r="D15" i="125"/>
  <c r="D11" i="125"/>
  <c r="D13" i="125"/>
  <c r="D12" i="125"/>
  <c r="D10" i="125"/>
  <c r="D17" i="125" l="1"/>
  <c r="E23" i="15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lorenacp</author>
  </authors>
  <commentList>
    <comment ref="N22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http://www.sasp.org.br/index.php/piso-salarial.html</t>
        </r>
      </text>
    </comment>
    <comment ref="P22" authorId="0" shapeId="0" xr:uid="{00000000-0006-0000-0100-000002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114% de impostos</t>
        </r>
      </text>
    </comment>
    <comment ref="N23" authorId="0" shapeId="0" xr:uid="{00000000-0006-0000-0100-000003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http://www.assistentesocial.com.br/perguntas.php</t>
        </r>
      </text>
    </comment>
  </commentList>
</comments>
</file>

<file path=xl/sharedStrings.xml><?xml version="1.0" encoding="utf-8"?>
<sst xmlns="http://schemas.openxmlformats.org/spreadsheetml/2006/main" count="1859" uniqueCount="721">
  <si>
    <t xml:space="preserve">ORÇAMENTO PARA ELABORAÇÃO DE PROJETOS DE SISTEMA DE ESGOTAMENTO SANITÁRIO </t>
  </si>
  <si>
    <t>CBH-PIRANGA</t>
  </si>
  <si>
    <t>São Miguel do Anta/MG</t>
  </si>
  <si>
    <t>Elaborado por:</t>
  </si>
  <si>
    <t xml:space="preserve">Adriano Ferreira Batista </t>
  </si>
  <si>
    <t>Gerente Técnico</t>
  </si>
  <si>
    <t>AGEDOCE</t>
  </si>
  <si>
    <t>Vitor Soares Feitoza</t>
  </si>
  <si>
    <t>Técnico Pleno - Nível Superior</t>
  </si>
  <si>
    <t>De acordo:</t>
  </si>
  <si>
    <t>Alex Cardoso Pereira</t>
  </si>
  <si>
    <t>Diretor-Executivo Interino</t>
  </si>
  <si>
    <t>GOVERNO DO ESTADO DO RIO DE JANEIRO</t>
  </si>
  <si>
    <t>SECRETARIA DE ESTADO DO AMBIENTE - SEA</t>
  </si>
  <si>
    <t>Planilha Orçamentária</t>
  </si>
  <si>
    <t>I0 = AGO/2011</t>
  </si>
  <si>
    <t>Projeto: ELABORAÇÃO DE PLANO MUNICIPAL DE SANEAMENTO NAS MODALIDADES ÁGUA, ESGOTO E DRENAGEM URBANA  PARA MUNICÍPIOS COM POPULAÇÃO ATÉ 15 MIL HABITANTES</t>
  </si>
  <si>
    <t>ITEM</t>
  </si>
  <si>
    <t>DESCRIÇÃO</t>
  </si>
  <si>
    <t>Código</t>
  </si>
  <si>
    <t>Unid.</t>
  </si>
  <si>
    <t>Quant.</t>
  </si>
  <si>
    <t>Preço unit.</t>
  </si>
  <si>
    <t>Custo total</t>
  </si>
  <si>
    <t>EMOP JUL/11</t>
  </si>
  <si>
    <t>Supervisão e Suporte</t>
  </si>
  <si>
    <t>h/mês</t>
  </si>
  <si>
    <t>nº meses</t>
  </si>
  <si>
    <t>nº prof.</t>
  </si>
  <si>
    <t>0.1</t>
  </si>
  <si>
    <t>05.105.034-0</t>
  </si>
  <si>
    <t>h</t>
  </si>
  <si>
    <t>0.2</t>
  </si>
  <si>
    <t>05.105.038-0</t>
  </si>
  <si>
    <t>0.3</t>
  </si>
  <si>
    <t>05.105.041-0</t>
  </si>
  <si>
    <t>Plano de Trabalho (P1) e Projeto de Comunicação e Mobilização Social (P2)</t>
  </si>
  <si>
    <t>P1 + P2</t>
  </si>
  <si>
    <t>1.1</t>
  </si>
  <si>
    <t>MÃO-DE-OBRA DE ADVOGADO OU ASSESSOR JURÍDICO</t>
  </si>
  <si>
    <t>1.2</t>
  </si>
  <si>
    <t xml:space="preserve">MÃO-DE-OBRA DE ASSISTENTE SOCIAL </t>
  </si>
  <si>
    <t>1.3</t>
  </si>
  <si>
    <t>MÃO-DE-OBRA DE ECONOMISTA</t>
  </si>
  <si>
    <t>1.4</t>
  </si>
  <si>
    <t>05.105.033-0</t>
  </si>
  <si>
    <t>1.5</t>
  </si>
  <si>
    <t>05.105.032-0</t>
  </si>
  <si>
    <t>1.6</t>
  </si>
  <si>
    <t>05.105.026-0</t>
  </si>
  <si>
    <t>1.7</t>
  </si>
  <si>
    <t>05.105.035-0</t>
  </si>
  <si>
    <t>1.8</t>
  </si>
  <si>
    <t>05.105.025-0</t>
  </si>
  <si>
    <t xml:space="preserve"> Caracterização do Município (P3)</t>
  </si>
  <si>
    <t>P3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</si>
  <si>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</si>
  <si>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</si>
  <si>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</si>
  <si>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</si>
  <si>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</si>
  <si>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</si>
  <si>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</si>
  <si>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</si>
  <si>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</si>
  <si>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19.004.042-2</t>
  </si>
  <si>
    <t>Diagnóstico dos Serviços de Abastecimento de Água Potável (P4),  Esgotamento Sanitário e Drenagem Pluvial Urbana (P5)</t>
  </si>
  <si>
    <t>P4</t>
  </si>
  <si>
    <t>3.1</t>
  </si>
  <si>
    <t>3.2</t>
  </si>
  <si>
    <t>3.3</t>
  </si>
  <si>
    <t>3.4</t>
  </si>
  <si>
    <t>3.5</t>
  </si>
  <si>
    <t>3.6</t>
  </si>
  <si>
    <t>05.105.050-0</t>
  </si>
  <si>
    <t>3.7</t>
  </si>
  <si>
    <t>3.8</t>
  </si>
  <si>
    <t>3.9</t>
  </si>
  <si>
    <t>3.10</t>
  </si>
  <si>
    <t xml:space="preserve"> Proposição de  Arranjos Institucionais, Jurídicos e Econômico-Financeiros (P6), Sistemas de Abastecimento de Água (P7), Sistemas de Esgotamento Sanitário e Drenagem Pluvial Urbana (P8)</t>
  </si>
  <si>
    <t>P6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</si>
  <si>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</si>
  <si>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</si>
  <si>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</si>
  <si>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</si>
  <si>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</si>
  <si>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</si>
  <si>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</si>
  <si>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</si>
  <si>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</si>
  <si>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</si>
  <si>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Versão Preliminar do Plano (P9)</t>
  </si>
  <si>
    <t>P9</t>
  </si>
  <si>
    <t>5.1</t>
  </si>
  <si>
    <t>5.2</t>
  </si>
  <si>
    <t>5.3</t>
  </si>
  <si>
    <t>5.4</t>
  </si>
  <si>
    <t>5.5</t>
  </si>
  <si>
    <t>5.6</t>
  </si>
  <si>
    <t>5.7</t>
  </si>
  <si>
    <t>5.8</t>
  </si>
  <si>
    <t>Versão Final do Plano (P10) e Banco de Dados (P11)</t>
  </si>
  <si>
    <t>P10</t>
  </si>
  <si>
    <t>P11</t>
  </si>
  <si>
    <t>6.1</t>
  </si>
  <si>
    <t>6.2</t>
  </si>
  <si>
    <t>6.3</t>
  </si>
  <si>
    <t>6.4</t>
  </si>
  <si>
    <t>MAO-DE-OBRA DE TÉCNICO DE GEOPROCESSAMENTO</t>
  </si>
  <si>
    <t>6.5</t>
  </si>
  <si>
    <t>Sub total Planos Municipais de Saneamento</t>
  </si>
  <si>
    <t>Sub total Planos Municipais de Saneamento (c/ BDI 16%)</t>
  </si>
  <si>
    <t>meses</t>
  </si>
  <si>
    <t xml:space="preserve">TOTAL </t>
  </si>
  <si>
    <t>BDI (8%)</t>
  </si>
  <si>
    <t>TOTAL GERAL</t>
  </si>
  <si>
    <t>CRONOGRAMA FÍSICO-FINANCEIRO</t>
  </si>
  <si>
    <t>Projeto: ELABORAÇÃO DE PLANO MUNICIPAL DE SANEAMENTO NAS MODALIDADES ÁGUA, ESGOTO E DRENAGEM URBANA, PARA MUNICÍPIOS COM POPULAÇÃO ENTRE 15 E 30 MIL HABITANTES</t>
  </si>
  <si>
    <t>Atividade</t>
  </si>
  <si>
    <t>Supervisão/mês</t>
  </si>
  <si>
    <t>DIAS</t>
  </si>
  <si>
    <t>Plano de Trabalho e Projeto de Comunicação e Mobilização Social (P1+P2)</t>
  </si>
  <si>
    <t>Caracterização do Município (P3)</t>
  </si>
  <si>
    <t>Diagnóstico do Serviço de Abastecimento de Água Potável (P4),  Esgotamento Sanitário e Drenagem Pluvial Urbana (P5)</t>
  </si>
  <si>
    <t>Proposição de  Arranjos Institucionais, Jurídicos e Econômico-Financeiros (P6), sistemas de Abastecimento de Água (P7), esgotamento sanitário e drenagem pluvial urbana (P8)</t>
  </si>
  <si>
    <t>Versão Preliminar do PMSB (P9)</t>
  </si>
  <si>
    <t>Banco de Dados (P10) e Versão Final do Plano (P11)</t>
  </si>
  <si>
    <t>Total</t>
  </si>
  <si>
    <t>Total Acumulado</t>
  </si>
  <si>
    <t>Total (%)</t>
  </si>
  <si>
    <t>Total Acumulado (%)</t>
  </si>
  <si>
    <t>DEFINIÇÕES GERAIS</t>
  </si>
  <si>
    <t>ENCARGOS SOCIAIS</t>
  </si>
  <si>
    <t>Encargos Sociais e Benefícios aos Trabalhadores – encargos incidentes sobre a folha de pagamento, encargos demissionais, benefícios pagos ao trabalhador e demais custos que deverão ser pagos ou apropriados para quitação quando devidos, tais como: férias e abono de férias, 13° salário, auxílio refeição, auxílio transporte, plano de saúde, seguro de vida, abonos legais etc.</t>
  </si>
  <si>
    <t>DESPESAS INDIRETAS</t>
  </si>
  <si>
    <t>Despesas não apropriadas diretamente nos custos do contrato, como por exemplo: funcionários administrativos, assessoria jurídica, assessoria contábil, telefonia, água e luz, aluguel e manutenção de sede, atestados, certidões, cartórios etc., tarifas bancárias, segurança, manutenção de equipamentos, licenças de usos e atualização de software, hardware, seguros, impostos e taxas não vinculados com o faturamento, papelaria, mercado, livros, jornais e
revistas, despesas comerciais etc.</t>
  </si>
  <si>
    <t>DESPESAS LEGAIS TRIBUTOS</t>
  </si>
  <si>
    <t>Impostos e contribuições incidentes sobre o faturamento ou o resultado da empresa: PIS, COFINS e Imposto sobre Serviço.</t>
  </si>
  <si>
    <t>SERVIÇOS DE APOIO TÉCNICO</t>
  </si>
  <si>
    <t>São serviços complementares, executados por profissionais ou empresas subcontratados, e que são necessários para o desenvolvimento dos trabalhos de arquitetura e engenharia consultiva. Diferenciam-se das despesas diretas por serem atividades e serviços vinculados à responsabilidade técnica inerente ao trabalho da consultoria. Dentre estes serviços pode-se destacar: levantamentos topográficos e cadastrais, sondagens, ensaios geotécnicos, ensaios e análises laboratoriais (biológicos e físico-químicos), ensaios em cimento, agregados, aço, concreto, solo, pavimento etc.</t>
  </si>
  <si>
    <t>DESPESAS DIRETAS</t>
  </si>
  <si>
    <t>As despesas diretas são gastos decorrentes diretamente da execução do contrato, relacionados com materiais, serviços e equipamentos, alocados exclusivamente para o cumprimento do contrato em questão. Como exemplo destas despesas pode-se citar: impressão de desenhos, cópias Reprográficas, encadernações, fotografias, mídias, locação de veículo, diárias, refeições, passagens aéreas etc.</t>
  </si>
  <si>
    <t xml:space="preserve">Dados primários para quantificação </t>
  </si>
  <si>
    <t>Data:</t>
  </si>
  <si>
    <t>Comitê:</t>
  </si>
  <si>
    <t>Município:</t>
  </si>
  <si>
    <t>DISCRIMINAÇÃO</t>
  </si>
  <si>
    <t>VALORES</t>
  </si>
  <si>
    <t>UNIDADE</t>
  </si>
  <si>
    <t>FONTE</t>
  </si>
  <si>
    <t>LEGENDA:</t>
  </si>
  <si>
    <t>Localidade</t>
  </si>
  <si>
    <t>Sede Municipal/ São Miguel do Anta</t>
  </si>
  <si>
    <t>Dados inseridos</t>
  </si>
  <si>
    <t>Cronograma do projeto estimado</t>
  </si>
  <si>
    <t>Estimado</t>
  </si>
  <si>
    <t>Distância da cidade até Governador Valadares/MG</t>
  </si>
  <si>
    <t>km</t>
  </si>
  <si>
    <t>Google MAPS</t>
  </si>
  <si>
    <t>Calculado</t>
  </si>
  <si>
    <t>População Total</t>
  </si>
  <si>
    <t>habitantes</t>
  </si>
  <si>
    <t>IBGE 2022</t>
  </si>
  <si>
    <t>População urbana Total</t>
  </si>
  <si>
    <t>Prefeitura Municipal  ou IBGE</t>
  </si>
  <si>
    <t>População urbana das áreas de abrangência do projeto</t>
  </si>
  <si>
    <t>Área de abrangência do projeto</t>
  </si>
  <si>
    <t>km²</t>
  </si>
  <si>
    <t>Calculado - Google Earth</t>
  </si>
  <si>
    <t>Consumo Per Capta</t>
  </si>
  <si>
    <t>L/hab.dia</t>
  </si>
  <si>
    <t>SNIS - Água</t>
  </si>
  <si>
    <t>Número de domicílios da área de abrangência do projeto</t>
  </si>
  <si>
    <t>unidades</t>
  </si>
  <si>
    <t>Percentual de domicílios urbanos com saneamento adequado</t>
  </si>
  <si>
    <t>Percentual</t>
  </si>
  <si>
    <t>Extensão da rede por ligação</t>
  </si>
  <si>
    <t>m/lig</t>
  </si>
  <si>
    <t>Vazão estimada de Esgoto</t>
  </si>
  <si>
    <t>L/s</t>
  </si>
  <si>
    <t>Extensão estimada total da rede</t>
  </si>
  <si>
    <t>m</t>
  </si>
  <si>
    <t>Calculado (Considerado uma ligação/domicílio)</t>
  </si>
  <si>
    <t>Extensão de rede em condições adequadas</t>
  </si>
  <si>
    <t>Número Estimados de Poços de Visita (PVs)*</t>
  </si>
  <si>
    <t>Estimativa rede de esgoto a ser cadastrada</t>
  </si>
  <si>
    <t xml:space="preserve">km </t>
  </si>
  <si>
    <t>Estimativa rede de esgoto a ser projetada</t>
  </si>
  <si>
    <t>*Adotou-se o valor de 0,80m como Distância entre Poços de Visita (PVs), conforme NBR 9649/86 - Projeto de redes coletoras e esgoto sanitário</t>
  </si>
  <si>
    <t>Dias trabalhados - 2025</t>
  </si>
  <si>
    <t>Nº</t>
  </si>
  <si>
    <t>ESPECIFICAÇÃO</t>
  </si>
  <si>
    <t>DADOS</t>
  </si>
  <si>
    <t>OBSERVAÇÃO</t>
  </si>
  <si>
    <t>NÚMERO MÉDIO DE DIAS IMPRODUTIVOS</t>
  </si>
  <si>
    <t>Número de dias no ano:</t>
  </si>
  <si>
    <t>dias</t>
  </si>
  <si>
    <t>Definido</t>
  </si>
  <si>
    <t>Número de dias na semana:</t>
  </si>
  <si>
    <t>Número de sábado e domingo na semana:</t>
  </si>
  <si>
    <t>Número de semanas no ano:</t>
  </si>
  <si>
    <t>semanas</t>
  </si>
  <si>
    <t>(1.1/1.2)</t>
  </si>
  <si>
    <t>Número de sábados e domingos no ano:</t>
  </si>
  <si>
    <t>(1.3 x 1.4)</t>
  </si>
  <si>
    <t>Número de feriados em dias úteis:</t>
  </si>
  <si>
    <t>Dias improdutivos no ano:</t>
  </si>
  <si>
    <t>(1.5 + 1.6)</t>
  </si>
  <si>
    <t>NÚMERO DE HORAS TRABALHADAS PELA EMPRESA</t>
  </si>
  <si>
    <t>Total de dias trabalhados por ano:</t>
  </si>
  <si>
    <t>(1.1 - 1.7)</t>
  </si>
  <si>
    <t>Jornada diária de trabalho:</t>
  </si>
  <si>
    <t>horas</t>
  </si>
  <si>
    <t>Acordo coletivo</t>
  </si>
  <si>
    <t>Número de horas trabalhadas por ano:</t>
  </si>
  <si>
    <t>(2.1 x 2.2)</t>
  </si>
  <si>
    <t>Número de meses no ano:</t>
  </si>
  <si>
    <t>Número médio de horas trabalhadas pela empresa no mês</t>
  </si>
  <si>
    <t>(2.3 / 2.4)</t>
  </si>
  <si>
    <t>NÚMERO DE HORAS IMPRODUTIVAS DO EMPREGADO</t>
  </si>
  <si>
    <t>horas/ano</t>
  </si>
  <si>
    <t>(3.1 + 3.2 + 3.3 + 3.4 + 3.5)</t>
  </si>
  <si>
    <t>Número de horas - Férias</t>
  </si>
  <si>
    <t>3.1.1</t>
  </si>
  <si>
    <t>Número de dias de férias</t>
  </si>
  <si>
    <t xml:space="preserve">dias </t>
  </si>
  <si>
    <t>Número de horas - Faltas justificadas</t>
  </si>
  <si>
    <t>(3.2.1 x 2.2)</t>
  </si>
  <si>
    <t>3.2.1</t>
  </si>
  <si>
    <t>Número de dias de faltas justificadas por ano:</t>
  </si>
  <si>
    <t>Número de horas  - Auxílio enfermidade</t>
  </si>
  <si>
    <t>((2.2 x (3.3.2 - 3.3.3)) x (3.3.1 / 100)</t>
  </si>
  <si>
    <t>3.3.1</t>
  </si>
  <si>
    <t>% de funcionários que recorrem ao auxílio enfermidade:</t>
  </si>
  <si>
    <t>%</t>
  </si>
  <si>
    <t>3.3.2</t>
  </si>
  <si>
    <t>Número de dias no auxílio enfermidade:</t>
  </si>
  <si>
    <t>Prazo concedido 15 dias - auxílo enfermidade</t>
  </si>
  <si>
    <t>3.3.3</t>
  </si>
  <si>
    <t>Número de sábados e domingos no auxílio enfermidade:</t>
  </si>
  <si>
    <t>((3.3.1 / 1.2) x 1.3))</t>
  </si>
  <si>
    <t>Número de horas - Aviso prévio</t>
  </si>
  <si>
    <t>3.4.1 x 2.2 x (3.4.3/100) x (3.4.4/100) x (3.4.2/2.4)</t>
  </si>
  <si>
    <t>3.4.1</t>
  </si>
  <si>
    <t>Dias úteis dispensado do aviso prévio trabalhado:</t>
  </si>
  <si>
    <t>(1.2 - 1.3)</t>
  </si>
  <si>
    <t>(trabalha 1 semana a menos)</t>
  </si>
  <si>
    <t>3.4.2</t>
  </si>
  <si>
    <t>Permanência média dos funcionários na empresa:</t>
  </si>
  <si>
    <t>3.4.3</t>
  </si>
  <si>
    <t>% de empregados que são demitidos:</t>
  </si>
  <si>
    <t>3.4.4</t>
  </si>
  <si>
    <t>% de empregados que cumprem o aviso prévio:</t>
  </si>
  <si>
    <t>Número de horas - Licença Paternidade</t>
  </si>
  <si>
    <t>(3.5.1 x 2.2 x (3.5.2/100) x (3.5.3/100)</t>
  </si>
  <si>
    <t>3.5.1</t>
  </si>
  <si>
    <t>Dias de licença paternidade:</t>
  </si>
  <si>
    <t>3.5.2</t>
  </si>
  <si>
    <t>% de empregados do sexo masculino:</t>
  </si>
  <si>
    <t>3.5.3</t>
  </si>
  <si>
    <t>% dos empregados que recorrem a licença:</t>
  </si>
  <si>
    <t xml:space="preserve">NÚMERO DE HORAS DE CURSOS </t>
  </si>
  <si>
    <t>THIA</t>
  </si>
  <si>
    <t>NÚMERO TOTAL DE HORAS IMPRODUTIVAS:</t>
  </si>
  <si>
    <t>(3 + 4)</t>
  </si>
  <si>
    <t>THTA</t>
  </si>
  <si>
    <t>NÚMERO TOTAL DE HORAS TRABALHADAS PELO EMPREGADO:</t>
  </si>
  <si>
    <t>(2.3 - THIA)</t>
  </si>
  <si>
    <t>THTM</t>
  </si>
  <si>
    <t>NÚMERO DE HORAS PRODUTIVAS DO CONSULTOR POR MÊS:</t>
  </si>
  <si>
    <t>horas/mês</t>
  </si>
  <si>
    <t>(THTA/2.4)</t>
  </si>
  <si>
    <t>COLUNA 39 – CONSULTORIA (SUPERVISÃO E PROJETOS)</t>
  </si>
  <si>
    <t>Custo nacional da construção civil e obras públicas apurado pela Fundação Getúlio Vargas (FGV)</t>
  </si>
  <si>
    <t>Link:</t>
  </si>
  <si>
    <t>https://sinaenco.com.br/indices/</t>
  </si>
  <si>
    <t>Mês/ano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</si>
  <si>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</si>
  <si>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</si>
  <si>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</si>
  <si>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</si>
  <si>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</si>
  <si>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</si>
  <si>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</si>
  <si>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</si>
  <si>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</si>
  <si>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</si>
  <si>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</si>
  <si>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</si>
  <si>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Critérios para definição da estimativa de deslocamento</t>
  </si>
  <si>
    <t>Município</t>
  </si>
  <si>
    <t>Estado</t>
  </si>
  <si>
    <t>Distância até Governador Valadares</t>
  </si>
  <si>
    <t xml:space="preserve">Distância média </t>
  </si>
  <si>
    <t>Tempo de visita</t>
  </si>
  <si>
    <t>MG</t>
  </si>
  <si>
    <t>Valor médio</t>
  </si>
  <si>
    <t>Observações:</t>
  </si>
  <si>
    <t xml:space="preserve">1 - </t>
  </si>
  <si>
    <t>Km considerado:</t>
  </si>
  <si>
    <t>Distância entre Governador Valadares até a localidade de projeto</t>
  </si>
  <si>
    <t xml:space="preserve">2 - </t>
  </si>
  <si>
    <t>Distância média:</t>
  </si>
  <si>
    <t>ida e volta + deslocamento interno</t>
  </si>
  <si>
    <t xml:space="preserve">3 - </t>
  </si>
  <si>
    <t>Deslocamento Interno</t>
  </si>
  <si>
    <t xml:space="preserve">Critérios para definição dos serviços técnicos - topografia </t>
  </si>
  <si>
    <t>Coef. Produção</t>
  </si>
  <si>
    <t>Top. Campo</t>
  </si>
  <si>
    <t>Top. Escritório</t>
  </si>
  <si>
    <t>Eq. Campo (km²/dia)</t>
  </si>
  <si>
    <t>Eq. Escritório (Hh/km²)</t>
  </si>
  <si>
    <t>Mês</t>
  </si>
  <si>
    <t xml:space="preserve">Levantamento planialmtimétrico semicadastral </t>
  </si>
  <si>
    <t>Total mês</t>
  </si>
  <si>
    <t>Campo</t>
  </si>
  <si>
    <t>Escritório</t>
  </si>
  <si>
    <t>Total de Meses</t>
  </si>
  <si>
    <t xml:space="preserve">Produtividades: </t>
  </si>
  <si>
    <t>Campo (km2/dia)</t>
  </si>
  <si>
    <t>Escritório (Hh/km²):</t>
  </si>
  <si>
    <t xml:space="preserve">Ajustes </t>
  </si>
  <si>
    <t>Vetorização</t>
  </si>
  <si>
    <t>Desenhos</t>
  </si>
  <si>
    <t>Documentos finais</t>
  </si>
  <si>
    <t>Critérios para definição dos serviços técnicos - Cadastro técnico</t>
  </si>
  <si>
    <t xml:space="preserve">Eq. Campo </t>
  </si>
  <si>
    <t xml:space="preserve">Eq. Escritório </t>
  </si>
  <si>
    <t>Poços de visita</t>
  </si>
  <si>
    <t>Cadastro de redes</t>
  </si>
  <si>
    <t>Poço de visita:</t>
  </si>
  <si>
    <t>PVs/dia</t>
  </si>
  <si>
    <t>Cadastro de Redes:</t>
  </si>
  <si>
    <t>km/dia</t>
  </si>
  <si>
    <t>Edificações:</t>
  </si>
  <si>
    <t>Edificações/dia</t>
  </si>
  <si>
    <t>Hh/PV</t>
  </si>
  <si>
    <t>Hh/km</t>
  </si>
  <si>
    <t>Hh/Edificação</t>
  </si>
  <si>
    <t>Custos de referência</t>
  </si>
  <si>
    <t>CÓDIGO</t>
  </si>
  <si>
    <t>HORAS</t>
  </si>
  <si>
    <t>DATA BASE</t>
  </si>
  <si>
    <t>CUSTO (R$)</t>
  </si>
  <si>
    <t>MÊS</t>
  </si>
  <si>
    <t>MENSAL</t>
  </si>
  <si>
    <t>UNITÁRIO</t>
  </si>
  <si>
    <t>EQUIPE TÉCNICA PERMANENTE</t>
  </si>
  <si>
    <t>Valoes unitários DNIT</t>
  </si>
  <si>
    <t>PERMANENTE</t>
  </si>
  <si>
    <t>corrigido -fev/2026</t>
  </si>
  <si>
    <t>a)</t>
  </si>
  <si>
    <t>Engenheiro Coordenador</t>
  </si>
  <si>
    <t>DNIT</t>
  </si>
  <si>
    <t>P8061</t>
  </si>
  <si>
    <t>jan/2026</t>
  </si>
  <si>
    <t>hora</t>
  </si>
  <si>
    <t>Ir para planilha "Reajuste"</t>
  </si>
  <si>
    <t>b)</t>
  </si>
  <si>
    <t>Engenheiro de Projetos Pleno</t>
  </si>
  <si>
    <t>P8066</t>
  </si>
  <si>
    <t>c)</t>
  </si>
  <si>
    <t>Auxiliar Administrativo</t>
  </si>
  <si>
    <t>P8026</t>
  </si>
  <si>
    <t>EQUIPE DE CONSULTORES</t>
  </si>
  <si>
    <t>CONSULTORES</t>
  </si>
  <si>
    <t>Engenheiro de Projetos (Elétrico)</t>
  </si>
  <si>
    <t>P8067</t>
  </si>
  <si>
    <t>Engenheiro de Projeto (Calculista)</t>
  </si>
  <si>
    <t>Engenheiro ambiental</t>
  </si>
  <si>
    <t>P8059</t>
  </si>
  <si>
    <t>COPASA</t>
  </si>
  <si>
    <t xml:space="preserve">SERVIÇO DE SONDAGEM </t>
  </si>
  <si>
    <t>Sondagem a percussao - mobilizacao e desmobilizacao</t>
  </si>
  <si>
    <t>mar/2026</t>
  </si>
  <si>
    <t>unidade</t>
  </si>
  <si>
    <t>-</t>
  </si>
  <si>
    <t>Sondagem a percussao - instalacao por furo</t>
  </si>
  <si>
    <t>Sondagem a percussao ø2.1/2" - perfuracao e retirada de amostras</t>
  </si>
  <si>
    <t>SERVIÇOS DE TOPOGRAFIA</t>
  </si>
  <si>
    <t>Mobilização e desmobilização de equipe de topografia</t>
  </si>
  <si>
    <t>Equipe de topografia de campo</t>
  </si>
  <si>
    <t>mês</t>
  </si>
  <si>
    <t>Equipe de topografia de escritório</t>
  </si>
  <si>
    <t>CADASTRO TÉCNICO</t>
  </si>
  <si>
    <t>OUTRAS DESPESAS</t>
  </si>
  <si>
    <t>ANÁLISE DE ÁGUA</t>
  </si>
  <si>
    <t>Análise fisico-química da água</t>
  </si>
  <si>
    <t>Analise bactereologica da água</t>
  </si>
  <si>
    <t>Valoes unitários SICOR</t>
  </si>
  <si>
    <t>SICOR-2025</t>
  </si>
  <si>
    <t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t>
  </si>
  <si>
    <t>SICOR-MG</t>
  </si>
  <si>
    <t>CO-28366</t>
  </si>
  <si>
    <t>FONTE DOS CUSTOS:</t>
  </si>
  <si>
    <t>Item 1.1 e 1.2:</t>
  </si>
  <si>
    <t>Tabela 01 - Consolidação dos custos de mão de obra da engenharia consultiva, Relatório de Consolidação de Mão de Obra - DNIT, data-base: jan/2026.</t>
  </si>
  <si>
    <t xml:space="preserve">https://www.gov.br/dnit/pt-br/assuntos/planejamento-e-pesquisa/custos-referenciais/engenharia-consultiva-2/tabela-de-precos-de-consultoria-1 </t>
  </si>
  <si>
    <t>Item 3</t>
  </si>
  <si>
    <t>Banco de Preços de Serviços da COPASA - BASE NORDESTE, data-base:mar/2026. Disponível em: https://wwwapp.copasa.com.br/servicos/RDC/Rdc/BancoDePrecos</t>
  </si>
  <si>
    <t>https://www2.copasa.com.br/servicos/portalTransparencia/obraservico/visao/opcaoFiltroServico.asp?modalidade=Servico</t>
  </si>
  <si>
    <t>Item 4</t>
  </si>
  <si>
    <t>Banco de preços SICOR/MG, data base janeiro de 2026</t>
  </si>
  <si>
    <t>https://portal.der.mg.gov.br/portal-servicos-frontend/login</t>
  </si>
  <si>
    <t>Número de horas trabalhadas</t>
  </si>
  <si>
    <t>Horas no mês</t>
  </si>
  <si>
    <t>Cronograma</t>
  </si>
  <si>
    <t>ETAPA</t>
  </si>
  <si>
    <t>7a</t>
  </si>
  <si>
    <t>7b</t>
  </si>
  <si>
    <t>TOTAL
(horas)</t>
  </si>
  <si>
    <t>Prazo do cronograma</t>
  </si>
  <si>
    <t>PRODUTO</t>
  </si>
  <si>
    <t>Plano de Trabalho</t>
  </si>
  <si>
    <t>Estudos Topográficos</t>
  </si>
  <si>
    <t xml:space="preserve">Cadastro Técnico </t>
  </si>
  <si>
    <t>Estudo de Concepção</t>
  </si>
  <si>
    <t>Projeto Básico</t>
  </si>
  <si>
    <t>Estudos Geotécnicos</t>
  </si>
  <si>
    <t>Estudos Ambientais Preliminares</t>
  </si>
  <si>
    <t>Estudos Ambientais Consolidados</t>
  </si>
  <si>
    <t>Projeto Executivo</t>
  </si>
  <si>
    <t>Coordenador Geral</t>
  </si>
  <si>
    <t>Engenheiro Pleno</t>
  </si>
  <si>
    <t>Auxiliar de Escritório</t>
  </si>
  <si>
    <t>EQUIPE CONSULTORES</t>
  </si>
  <si>
    <t>Engenheiro elétrico</t>
  </si>
  <si>
    <t>Engenheiro Civil</t>
  </si>
  <si>
    <t>BASE DA CÁLCULO PARA ESTIMATIVAS DE DURAÇÃO</t>
  </si>
  <si>
    <t>Equipe:</t>
  </si>
  <si>
    <t>Atuação</t>
  </si>
  <si>
    <t>Duração por produto estimada p/ 8 meses</t>
  </si>
  <si>
    <t>P1</t>
  </si>
  <si>
    <t>P2</t>
  </si>
  <si>
    <t>P5</t>
  </si>
  <si>
    <t>P7.1</t>
  </si>
  <si>
    <t>P7.2</t>
  </si>
  <si>
    <t>P8</t>
  </si>
  <si>
    <t>Produto</t>
  </si>
  <si>
    <t>T estimado</t>
  </si>
  <si>
    <t>incidência</t>
  </si>
  <si>
    <t>Coordenador (C)</t>
  </si>
  <si>
    <t>S</t>
  </si>
  <si>
    <t>Eng. Pleno (EP)</t>
  </si>
  <si>
    <t>Eng. Júnior (EJ)</t>
  </si>
  <si>
    <t>Cadista (TC)</t>
  </si>
  <si>
    <t>Aux. Escritório (AE)</t>
  </si>
  <si>
    <t>Advogado (A)</t>
  </si>
  <si>
    <t>Eng. Elétrico (EE)</t>
  </si>
  <si>
    <t>Eng. Civil (ECV)</t>
  </si>
  <si>
    <t>Eng. Mecânico (EM)</t>
  </si>
  <si>
    <t>Eng. Ambiental (EA)</t>
  </si>
  <si>
    <t>Téc. Geo (TG)</t>
  </si>
  <si>
    <t>Duração (mês)</t>
  </si>
  <si>
    <t>P8001</t>
  </si>
  <si>
    <t>Advogado júnior</t>
  </si>
  <si>
    <t>P8002</t>
  </si>
  <si>
    <t>Advogado pleno</t>
  </si>
  <si>
    <t>P8003</t>
  </si>
  <si>
    <t>Advogado sênior</t>
  </si>
  <si>
    <t>P8007</t>
  </si>
  <si>
    <t>Analista de desenvolvimento de sistemas júnior</t>
  </si>
  <si>
    <t>P8008</t>
  </si>
  <si>
    <t>Analista de desenvolvimento de sistemas pleno</t>
  </si>
  <si>
    <t>P8009</t>
  </si>
  <si>
    <t>Analista de desenvolvimento de sistemas sênior</t>
  </si>
  <si>
    <t>P8013</t>
  </si>
  <si>
    <t>Arquiteto júnior</t>
  </si>
  <si>
    <t>P8014</t>
  </si>
  <si>
    <t>Arquiteto pleno</t>
  </si>
  <si>
    <t>P8015</t>
  </si>
  <si>
    <t>Arquiteto sênior</t>
  </si>
  <si>
    <t>P8019</t>
  </si>
  <si>
    <t>Assistente social júnior</t>
  </si>
  <si>
    <t>P8020</t>
  </si>
  <si>
    <t>Assistente social pleno</t>
  </si>
  <si>
    <t>P8021</t>
  </si>
  <si>
    <t>Assistente social sênior</t>
  </si>
  <si>
    <t>P8025</t>
  </si>
  <si>
    <t>Auxiliar</t>
  </si>
  <si>
    <t>Auxiliar administrativo</t>
  </si>
  <si>
    <t>P8027</t>
  </si>
  <si>
    <t>Auxiliar de laboratório</t>
  </si>
  <si>
    <t>P8028</t>
  </si>
  <si>
    <t>Auxiliar de topografia</t>
  </si>
  <si>
    <t>P8032</t>
  </si>
  <si>
    <t>Biólogo júnior</t>
  </si>
  <si>
    <t>P8033</t>
  </si>
  <si>
    <t>Biólogo pleno</t>
  </si>
  <si>
    <t>P8034</t>
  </si>
  <si>
    <t>Biólogo sênior</t>
  </si>
  <si>
    <t>P8038</t>
  </si>
  <si>
    <t>Chefe de escritório</t>
  </si>
  <si>
    <t>P8040</t>
  </si>
  <si>
    <t>Contador júnior</t>
  </si>
  <si>
    <t>P8041</t>
  </si>
  <si>
    <t>Contador pleno</t>
  </si>
  <si>
    <t>P8042</t>
  </si>
  <si>
    <t>Contador sênior</t>
  </si>
  <si>
    <t>P8044</t>
  </si>
  <si>
    <t xml:space="preserve">Coordenador ambiental </t>
  </si>
  <si>
    <t>P8045</t>
  </si>
  <si>
    <t>Economista júnior</t>
  </si>
  <si>
    <t>P8046</t>
  </si>
  <si>
    <t>Economista pleno</t>
  </si>
  <si>
    <t>P8047</t>
  </si>
  <si>
    <t>Economista sênior</t>
  </si>
  <si>
    <t>P8054</t>
  </si>
  <si>
    <t>Engenheiro agrônomo júnior</t>
  </si>
  <si>
    <t>P8055</t>
  </si>
  <si>
    <t>Engenheiro agrônomo pleno</t>
  </si>
  <si>
    <t>P8056</t>
  </si>
  <si>
    <t>Engenheiro agrônomo sênior</t>
  </si>
  <si>
    <t>P8057</t>
  </si>
  <si>
    <t>Engenheiro ambiental júnior</t>
  </si>
  <si>
    <t>P8058</t>
  </si>
  <si>
    <t>Engenheiro ambiental pleno</t>
  </si>
  <si>
    <t>Engenheiro ambiental sênior</t>
  </si>
  <si>
    <t>P8060</t>
  </si>
  <si>
    <t>Engenheiro consultor especial</t>
  </si>
  <si>
    <t>Engenheiro coordenador</t>
  </si>
  <si>
    <t>P8062</t>
  </si>
  <si>
    <t>Engenheiro de pesca júnior</t>
  </si>
  <si>
    <t>P8063</t>
  </si>
  <si>
    <t>Engenheiro de pesca pleno</t>
  </si>
  <si>
    <t>P8064</t>
  </si>
  <si>
    <t>Engenheiro de pesca sênior</t>
  </si>
  <si>
    <t>P8065</t>
  </si>
  <si>
    <t>Engenheiro de projetos júnior</t>
  </si>
  <si>
    <t>Engenheiro de projetos pleno</t>
  </si>
  <si>
    <t>Engenheiro de projetos sênior</t>
  </si>
  <si>
    <t>P8068</t>
  </si>
  <si>
    <t>Engenheiro florestal júnior</t>
  </si>
  <si>
    <t>P8069</t>
  </si>
  <si>
    <t>Engenheiro florestal pleno</t>
  </si>
  <si>
    <t>P8070</t>
  </si>
  <si>
    <t>Engenheiro florestal sênior</t>
  </si>
  <si>
    <t>P8080</t>
  </si>
  <si>
    <t>Geólogo júnior</t>
  </si>
  <si>
    <t>P8081</t>
  </si>
  <si>
    <t>Geólogo pleno</t>
  </si>
  <si>
    <t>P8082</t>
  </si>
  <si>
    <t>Geólogo sênior</t>
  </si>
  <si>
    <t>P8092</t>
  </si>
  <si>
    <t>Jornalista júnior</t>
  </si>
  <si>
    <t>P8093</t>
  </si>
  <si>
    <t>Jornalista pleno</t>
  </si>
  <si>
    <t>P8094</t>
  </si>
  <si>
    <t>Jornalista sênior</t>
  </si>
  <si>
    <t>P8098</t>
  </si>
  <si>
    <t>Laboratorista</t>
  </si>
  <si>
    <t>P8102</t>
  </si>
  <si>
    <t>Médico veterinário</t>
  </si>
  <si>
    <t>P8106</t>
  </si>
  <si>
    <t>Meteorologista júnior</t>
  </si>
  <si>
    <t>P8107</t>
  </si>
  <si>
    <t>Meteorologista pleno</t>
  </si>
  <si>
    <t>P8108</t>
  </si>
  <si>
    <t>Meteorologista sênior</t>
  </si>
  <si>
    <t>P8112</t>
  </si>
  <si>
    <t>Motorista de caminhão</t>
  </si>
  <si>
    <t>P8113</t>
  </si>
  <si>
    <t>Motorista de veículo leve</t>
  </si>
  <si>
    <t>P8117</t>
  </si>
  <si>
    <t>Oceanógrafo júnior</t>
  </si>
  <si>
    <t>P8118</t>
  </si>
  <si>
    <t>Oceanógrafo pleno</t>
  </si>
  <si>
    <t>P8119</t>
  </si>
  <si>
    <t>Oceanógrafo sênior</t>
  </si>
  <si>
    <t>P8129</t>
  </si>
  <si>
    <t>Pedagogo júnior</t>
  </si>
  <si>
    <t>P8130</t>
  </si>
  <si>
    <t>Pedagogo pleno</t>
  </si>
  <si>
    <t>P8131</t>
  </si>
  <si>
    <t>Pedagogo sênior</t>
  </si>
  <si>
    <t>P8135</t>
  </si>
  <si>
    <t>Secretária</t>
  </si>
  <si>
    <t>P8139</t>
  </si>
  <si>
    <t>Sondador</t>
  </si>
  <si>
    <t>P8143</t>
  </si>
  <si>
    <t>Técnico ambiental</t>
  </si>
  <si>
    <t>P8147</t>
  </si>
  <si>
    <t>Técnico de obras</t>
  </si>
  <si>
    <t>P8151</t>
  </si>
  <si>
    <t>Técnico de segurança do trabalho</t>
  </si>
  <si>
    <t>P8155</t>
  </si>
  <si>
    <t>Técnico em geoprocessamento</t>
  </si>
  <si>
    <t>P8159</t>
  </si>
  <si>
    <t>Técnico em informática - programador</t>
  </si>
  <si>
    <t>P8163</t>
  </si>
  <si>
    <t>Topógrafo</t>
  </si>
  <si>
    <t>P8167</t>
  </si>
  <si>
    <t>Arquivista júnior</t>
  </si>
  <si>
    <t>P8168</t>
  </si>
  <si>
    <t>Arquivista pleno</t>
  </si>
  <si>
    <t>P8169</t>
  </si>
  <si>
    <t>Arquivista sênior</t>
  </si>
  <si>
    <t>P8173</t>
  </si>
  <si>
    <t>Administrador júnior</t>
  </si>
  <si>
    <t>P8174</t>
  </si>
  <si>
    <t>Administrador pleno</t>
  </si>
  <si>
    <t>P8175</t>
  </si>
  <si>
    <t>Administrador sênior</t>
  </si>
  <si>
    <t>P8180</t>
  </si>
  <si>
    <t>Engenheiro agrimensor júnior</t>
  </si>
  <si>
    <t>P8181</t>
  </si>
  <si>
    <t>Engenheiro agrimensor pleno</t>
  </si>
  <si>
    <t>P8182</t>
  </si>
  <si>
    <t>Engenheiro agrimensor sênior</t>
  </si>
  <si>
    <t>P8183</t>
  </si>
  <si>
    <t>Geógrafo júnior</t>
  </si>
  <si>
    <t>P8184</t>
  </si>
  <si>
    <t>Geógrafo pleno</t>
  </si>
  <si>
    <t>P8185</t>
  </si>
  <si>
    <t>Geógrafo sênior</t>
  </si>
  <si>
    <t>P8186</t>
  </si>
  <si>
    <t>Antropólogo júnior</t>
  </si>
  <si>
    <t>P8187</t>
  </si>
  <si>
    <t>Antropólogo pleno</t>
  </si>
  <si>
    <t>P8188</t>
  </si>
  <si>
    <t>Antropólogo sênior</t>
  </si>
  <si>
    <t>P8189</t>
  </si>
  <si>
    <t>Arqueólogo júnior</t>
  </si>
  <si>
    <t>P8190</t>
  </si>
  <si>
    <t>Arqueólogo pleno</t>
  </si>
  <si>
    <t>P8191</t>
  </si>
  <si>
    <t>Arqueólogo sênior</t>
  </si>
  <si>
    <t>P8192</t>
  </si>
  <si>
    <t>Historiador júnior</t>
  </si>
  <si>
    <t>P8193</t>
  </si>
  <si>
    <t>Historiador pleno</t>
  </si>
  <si>
    <t>P8194</t>
  </si>
  <si>
    <t>Historiador sênior</t>
  </si>
  <si>
    <t>P8195</t>
  </si>
  <si>
    <t>Paleontólogo júnior</t>
  </si>
  <si>
    <t>P8196</t>
  </si>
  <si>
    <t>Paleontólogo pleno</t>
  </si>
  <si>
    <t>P8197</t>
  </si>
  <si>
    <t>Paleontólogo sênior</t>
  </si>
  <si>
    <t>P8198</t>
  </si>
  <si>
    <t>Sociólogo júnior</t>
  </si>
  <si>
    <t>P8199</t>
  </si>
  <si>
    <t>Sociólogo pleno</t>
  </si>
  <si>
    <t>P8200</t>
  </si>
  <si>
    <t>Sociólogo sênior</t>
  </si>
  <si>
    <t>Serviços contratados</t>
  </si>
  <si>
    <t>TOTAL</t>
  </si>
  <si>
    <t>Cadastro Técnico</t>
  </si>
  <si>
    <t>Estudo Ambiental</t>
  </si>
  <si>
    <t>SERVIÇOS DE SONDAGEM</t>
  </si>
  <si>
    <t>3 FUROS ETE + 1 FUROS ELEVATÓRIA + 1FUROS/2KM DE REDE COM 10M DE PROFUNDIDADE</t>
  </si>
  <si>
    <t>Unidade</t>
  </si>
  <si>
    <t>Detalhamento do Fator K</t>
  </si>
  <si>
    <t xml:space="preserve">Os K's foram calculados através de fórmulas estabelecidas pelo Acórdão 1787/2011. Os parâmetros utilizados foram estabelecidos pela Nota Técnica Conjunta nº 01/2012/SIP/SAF da Agência Nacional de Águas. </t>
  </si>
  <si>
    <t>DETALHAMENTO DO FATOR K</t>
  </si>
  <si>
    <t>K1</t>
  </si>
  <si>
    <t>ES+EC+EA</t>
  </si>
  <si>
    <t>K2</t>
  </si>
  <si>
    <t>K3</t>
  </si>
  <si>
    <t>K4</t>
  </si>
  <si>
    <t xml:space="preserve">PIS </t>
  </si>
  <si>
    <t>COFINS</t>
  </si>
  <si>
    <t>ISS**</t>
  </si>
  <si>
    <t>k</t>
  </si>
  <si>
    <t>K = (1+K1+K2)*(1+K3)*(1+K4)</t>
  </si>
  <si>
    <t>TRDE</t>
  </si>
  <si>
    <t>TRDE = (1+K3)*(1+K4)</t>
  </si>
  <si>
    <t xml:space="preserve">* Valor adotado conforme Portaria nº 498/2024 da Agência Nacional de Águas e Saneamento Básico
</t>
  </si>
  <si>
    <t>https://www.gov.br/ana/pt-br/acesso-a-informacao/licitacoes/portaria_ana_498_2024.pdf/view</t>
  </si>
  <si>
    <t>Produto 1:</t>
  </si>
  <si>
    <t>Item</t>
  </si>
  <si>
    <t>Data-Base</t>
  </si>
  <si>
    <t>Órgão</t>
  </si>
  <si>
    <t>Descrição</t>
  </si>
  <si>
    <t>Custo unitário 
(R$)</t>
  </si>
  <si>
    <t>Quantitativo</t>
  </si>
  <si>
    <t>Custo total
(R$)</t>
  </si>
  <si>
    <t>Custo total com K 
(R$)</t>
  </si>
  <si>
    <t>Peso
(%)</t>
  </si>
  <si>
    <t>EQUIPE TÉCNICA</t>
  </si>
  <si>
    <t>d)</t>
  </si>
  <si>
    <t>4.</t>
  </si>
  <si>
    <t>DESPESAS DIVERSAS</t>
  </si>
  <si>
    <t>R$/dia</t>
  </si>
  <si>
    <t>VALOR TOTAL - Inclusos K's</t>
  </si>
  <si>
    <t>R$</t>
  </si>
  <si>
    <t>1-</t>
  </si>
  <si>
    <t>Os K's foram calculados através de fórmulas estabelecidas pelo Acórdão 1787/2011. Os parâmetros utilizados foram estabelecidos pela Nota Técnica Conjunta nº 01/2012/SIP/SAF da Agência Nacional de Águas.</t>
  </si>
  <si>
    <t>2-</t>
  </si>
  <si>
    <t>A remuneração horária é determinada dividindo-se o valor da remuneração mensal pela carga horária efetivamente trabalhada.</t>
  </si>
  <si>
    <t>Produto 2:</t>
  </si>
  <si>
    <t>Produto 3:</t>
  </si>
  <si>
    <t>3-</t>
  </si>
  <si>
    <t>No valor do veículo já estão inclusos os valores de locação, gasolina, manutenção e pedágio.</t>
  </si>
  <si>
    <t>Produto 4:</t>
  </si>
  <si>
    <t>Produto 5:</t>
  </si>
  <si>
    <t xml:space="preserve">ORÇAMENTO PARA ELABORAÇÃO DE PROJETO DE SISTEMA DE ESGOTAMENTO SANITÁRIO </t>
  </si>
  <si>
    <t>Produto 6:</t>
  </si>
  <si>
    <t>Produto 7a:</t>
  </si>
  <si>
    <t>Produto 7:</t>
  </si>
  <si>
    <t>Produto 8:</t>
  </si>
  <si>
    <t>Produto Consolidado</t>
  </si>
  <si>
    <t>CADASTRO TÉCNICO DE REDES DE ESGOTAMENTO SANITÁRIO</t>
  </si>
  <si>
    <t>Custo por produto</t>
  </si>
  <si>
    <t>PERCENTUAL</t>
  </si>
  <si>
    <t>Produto 7.1:</t>
  </si>
  <si>
    <t>Produto 7.2:</t>
  </si>
  <si>
    <t>Cronograma físico-financeiro</t>
  </si>
  <si>
    <t xml:space="preserve">CRONOGRAMA </t>
  </si>
  <si>
    <t>ETAPA PRODUTO</t>
  </si>
  <si>
    <t>Repasse</t>
  </si>
  <si>
    <t>7.1</t>
  </si>
  <si>
    <t>7.2</t>
  </si>
  <si>
    <t>Finalização Contratual</t>
  </si>
  <si>
    <t>Emissão da Ordem de Serviço</t>
  </si>
  <si>
    <t xml:space="preserve">Análise da versão final do produto </t>
  </si>
  <si>
    <t>Elaboração do produto e entrega da minuta</t>
  </si>
  <si>
    <t>Período para pagamento</t>
  </si>
  <si>
    <t xml:space="preserve">Análise e revisão do produto </t>
  </si>
  <si>
    <t>Finalização contratual interna</t>
  </si>
  <si>
    <t>Correção e entrega versão final do produto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</si>
</sst>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#,##0.0"/>
    <numFmt numFmtId="167" formatCode="mmmm\,\ yyyy;@"/>
    <numFmt numFmtId="168" formatCode="#,##0.000"/>
    <numFmt numFmtId="169" formatCode="0.0%"/>
    <numFmt numFmtId="170" formatCode="0.000"/>
    <numFmt numFmtId="171" formatCode="#,##0.0000"/>
    <numFmt numFmtId="172" formatCode="0.0000"/>
    <numFmt numFmtId="173" formatCode="#,##0.00000"/>
    <numFmt numFmtId="174" formatCode="0.00000"/>
    <numFmt numFmtId="175" formatCode="0.0000%"/>
    <numFmt numFmtId="176" formatCode="_-* #,##0.00000_-;\-* #,##0.00000_-;_-* &quot;-&quot;??_-;_-@_-"/>
  </numFmts>
  <fonts count="8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0"/>
      <name val="Calibri Light"/>
      <family val="2"/>
    </font>
    <font>
      <b/>
      <sz val="11"/>
      <color theme="0"/>
      <name val="Calibri Light"/>
      <family val="2"/>
    </font>
    <font>
      <b/>
      <sz val="11"/>
      <color theme="1" tint="0.14999847407452621"/>
      <name val="Calibri Light"/>
      <family val="2"/>
    </font>
    <font>
      <b/>
      <sz val="12"/>
      <color theme="1" tint="0.14999847407452621"/>
      <name val="Calibri Light"/>
      <family val="2"/>
    </font>
    <font>
      <sz val="12"/>
      <color theme="1" tint="0.14999847407452621"/>
      <name val="Calibri Light"/>
      <family val="2"/>
    </font>
    <font>
      <b/>
      <sz val="16"/>
      <color theme="1" tint="0.14999847407452621"/>
      <name val="Calibri Light"/>
      <family val="2"/>
    </font>
    <font>
      <sz val="16"/>
      <color theme="1" tint="0.14999847407452621"/>
      <name val="Calibri Light"/>
      <family val="2"/>
    </font>
    <font>
      <sz val="11"/>
      <color theme="1" tint="0.14999847407452621"/>
      <name val="Calibri Light"/>
      <family val="2"/>
    </font>
    <font>
      <sz val="10"/>
      <color theme="1" tint="0.14999847407452621"/>
      <name val="Calibri Light"/>
      <family val="2"/>
    </font>
    <font>
      <sz val="9"/>
      <color theme="1" tint="0.14999847407452621"/>
      <name val="Calibri Light"/>
      <family val="2"/>
    </font>
    <font>
      <b/>
      <sz val="10"/>
      <color theme="1" tint="0.14999847407452621"/>
      <name val="Calibri Light"/>
      <family val="2"/>
    </font>
    <font>
      <sz val="11"/>
      <color theme="0"/>
      <name val="Calibri Light"/>
      <family val="2"/>
    </font>
    <font>
      <sz val="8"/>
      <color theme="1" tint="0.14999847407452621"/>
      <name val="Calibri Light"/>
      <family val="2"/>
    </font>
    <font>
      <b/>
      <i/>
      <sz val="12"/>
      <color theme="1" tint="0.14999847407452621"/>
      <name val="Calibri Light"/>
      <family val="2"/>
    </font>
    <font>
      <b/>
      <i/>
      <sz val="11"/>
      <color theme="1" tint="0.14999847407452621"/>
      <name val="Calibri Light"/>
      <family val="2"/>
    </font>
    <font>
      <i/>
      <sz val="10"/>
      <color theme="1" tint="0.14999847407452621"/>
      <name val="Calibri Light"/>
      <family val="2"/>
    </font>
    <font>
      <b/>
      <i/>
      <sz val="10"/>
      <color theme="1" tint="0.14999847407452621"/>
      <name val="Calibri Light"/>
      <family val="2"/>
    </font>
    <font>
      <b/>
      <i/>
      <sz val="10"/>
      <color theme="0"/>
      <name val="Calibri Light"/>
      <family val="2"/>
    </font>
    <font>
      <sz val="10"/>
      <name val="Calibri Light"/>
      <family val="2"/>
    </font>
    <font>
      <sz val="12"/>
      <name val="Calibri Light"/>
      <family val="2"/>
    </font>
    <font>
      <b/>
      <sz val="12"/>
      <color theme="0"/>
      <name val="Calibri Light"/>
      <family val="2"/>
    </font>
    <font>
      <i/>
      <sz val="12"/>
      <color theme="1" tint="0.14999847407452621"/>
      <name val="Calibri Light"/>
      <family val="2"/>
    </font>
    <font>
      <b/>
      <sz val="12"/>
      <name val="Calibri Light"/>
      <family val="2"/>
    </font>
    <font>
      <b/>
      <sz val="12"/>
      <color theme="1"/>
      <name val="Calibri Light"/>
      <family val="2"/>
    </font>
    <font>
      <sz val="12"/>
      <name val="Arial"/>
      <family val="2"/>
    </font>
    <font>
      <sz val="8"/>
      <color theme="0" tint="-0.249977111117893"/>
      <name val="Calibri Light"/>
      <family val="2"/>
    </font>
    <font>
      <sz val="8"/>
      <name val="Calibri Light"/>
      <family val="2"/>
    </font>
    <font>
      <b/>
      <sz val="11"/>
      <name val="Calibri Light"/>
      <family val="2"/>
    </font>
    <font>
      <b/>
      <sz val="10"/>
      <color theme="1" tint="0.14999847407452621"/>
      <name val="Calibri "/>
    </font>
    <font>
      <sz val="10"/>
      <color theme="1" tint="0.14999847407452621"/>
      <name val="Calibri "/>
    </font>
    <font>
      <b/>
      <sz val="10"/>
      <color theme="0"/>
      <name val="Calibri "/>
    </font>
    <font>
      <b/>
      <sz val="10"/>
      <name val="Calibri "/>
    </font>
    <font>
      <sz val="10"/>
      <name val="Calibri "/>
    </font>
    <font>
      <sz val="10"/>
      <color rgb="FFFF0000"/>
      <name val="Calibri "/>
    </font>
    <font>
      <b/>
      <sz val="10"/>
      <name val="Calibri Light"/>
      <family val="2"/>
    </font>
    <font>
      <sz val="9"/>
      <name val="Calibri Light"/>
      <family val="2"/>
    </font>
    <font>
      <sz val="8"/>
      <name val="Arial"/>
      <family val="2"/>
    </font>
    <font>
      <b/>
      <sz val="12"/>
      <color rgb="FF4A4A4A"/>
      <name val="Calibri"/>
      <family val="2"/>
      <scheme val="minor"/>
    </font>
    <font>
      <b/>
      <sz val="12"/>
      <color rgb="FFFFFFFF"/>
      <name val="Frutiger Black"/>
    </font>
    <font>
      <sz val="12"/>
      <color rgb="FF205740"/>
      <name val="Frutiger Black"/>
    </font>
    <font>
      <sz val="12"/>
      <color rgb="FF4A4A4A"/>
      <name val="Frutiger Light"/>
    </font>
    <font>
      <sz val="10"/>
      <name val="Arial"/>
      <family val="2"/>
    </font>
    <font>
      <sz val="10"/>
      <color theme="0"/>
      <name val="Calibri "/>
    </font>
    <font>
      <u/>
      <sz val="10"/>
      <color theme="10"/>
      <name val="Arial"/>
    </font>
    <font>
      <u/>
      <sz val="10"/>
      <color theme="0"/>
      <name val="Arial"/>
      <family val="2"/>
    </font>
    <font>
      <b/>
      <sz val="12"/>
      <color theme="1" tint="0.14999847407452621"/>
      <name val="Calibri "/>
    </font>
    <font>
      <b/>
      <sz val="10"/>
      <color theme="0"/>
      <name val="Arial"/>
      <family val="2"/>
    </font>
    <font>
      <sz val="12"/>
      <color rgb="FF4A4A4A"/>
      <name val="Frutiger Light"/>
      <charset val="1"/>
    </font>
  </fonts>
  <fills count="5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CC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79">
    <border>
      <left/>
      <right/>
      <top/>
      <bottom/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/>
      </bottom>
      <diagonal/>
    </border>
    <border>
      <left/>
      <right/>
      <top style="thin">
        <color theme="0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/>
      </bottom>
      <diagonal/>
    </border>
    <border>
      <left/>
      <right/>
      <top style="thin">
        <color theme="0"/>
      </top>
      <bottom style="thin">
        <color theme="0" tint="-0.14993743705557422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/>
      <right/>
      <top style="thin">
        <color theme="0" tint="-0.149998474074526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indexed="64"/>
      </left>
      <right style="medium">
        <color theme="0"/>
      </right>
      <top style="medium">
        <color indexed="64"/>
      </top>
      <bottom/>
      <diagonal/>
    </border>
    <border>
      <left style="medium">
        <color theme="0"/>
      </left>
      <right style="medium">
        <color theme="0"/>
      </right>
      <top style="medium">
        <color indexed="64"/>
      </top>
      <bottom/>
      <diagonal/>
    </border>
    <border>
      <left style="medium">
        <color theme="0"/>
      </left>
      <right style="medium">
        <color theme="0"/>
      </right>
      <top style="medium">
        <color indexed="64"/>
      </top>
      <bottom style="medium">
        <color theme="0"/>
      </bottom>
      <diagonal/>
    </border>
    <border>
      <left style="medium">
        <color indexed="64"/>
      </left>
      <right style="medium">
        <color theme="0"/>
      </right>
      <top/>
      <bottom/>
      <diagonal/>
    </border>
    <border>
      <left style="medium">
        <color indexed="64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medium">
        <color theme="0"/>
      </left>
      <right style="medium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/>
      <bottom style="thin">
        <color theme="0" tint="-0.14996795556505021"/>
      </bottom>
      <diagonal/>
    </border>
    <border>
      <left style="thin">
        <color theme="0"/>
      </left>
      <right/>
      <top style="thin">
        <color theme="0"/>
      </top>
      <bottom style="thin">
        <color theme="0" tint="-0.1499679555650502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 tint="-0.1499679555650502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14999847407452621"/>
      </right>
      <top/>
      <bottom/>
      <diagonal/>
    </border>
    <border>
      <left style="medium">
        <color indexed="64"/>
      </left>
      <right style="thin">
        <color theme="0" tint="-0.14999847407452621"/>
      </right>
      <top/>
      <bottom style="medium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 style="medium">
        <color indexed="64"/>
      </bottom>
      <diagonal/>
    </border>
    <border>
      <left/>
      <right/>
      <top style="thin">
        <color theme="0" tint="-0.14996795556505021"/>
      </top>
      <bottom style="thin">
        <color theme="0"/>
      </bottom>
      <diagonal/>
    </border>
  </borders>
  <cellStyleXfs count="81">
    <xf numFmtId="0" fontId="0" fillId="0" borderId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6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20" borderId="0" applyNumberFormat="0" applyBorder="0" applyAlignment="0" applyProtection="0"/>
    <xf numFmtId="0" fontId="18" fillId="8" borderId="0" applyNumberFormat="0" applyBorder="0" applyAlignment="0" applyProtection="0"/>
    <xf numFmtId="0" fontId="19" fillId="21" borderId="0" applyNumberFormat="0" applyBorder="0" applyAlignment="0" applyProtection="0"/>
    <xf numFmtId="0" fontId="20" fillId="22" borderId="22" applyNumberFormat="0" applyAlignment="0" applyProtection="0"/>
    <xf numFmtId="0" fontId="21" fillId="23" borderId="23" applyNumberFormat="0" applyAlignment="0" applyProtection="0"/>
    <xf numFmtId="0" fontId="22" fillId="0" borderId="24" applyNumberFormat="0" applyFill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3" fillId="30" borderId="22" applyNumberFormat="0" applyAlignment="0" applyProtection="0"/>
    <xf numFmtId="0" fontId="24" fillId="31" borderId="0" applyNumberFormat="0" applyBorder="0" applyAlignment="0" applyProtection="0"/>
    <xf numFmtId="0" fontId="25" fillId="32" borderId="0" applyNumberFormat="0" applyBorder="0" applyAlignment="0" applyProtection="0"/>
    <xf numFmtId="0" fontId="17" fillId="0" borderId="0"/>
    <xf numFmtId="0" fontId="13" fillId="33" borderId="25" applyNumberFormat="0" applyFont="0" applyAlignment="0" applyProtection="0"/>
    <xf numFmtId="9" fontId="4" fillId="0" borderId="0" applyFont="0" applyFill="0" applyBorder="0" applyAlignment="0" applyProtection="0"/>
    <xf numFmtId="0" fontId="26" fillId="22" borderId="26" applyNumberFormat="0" applyAlignment="0" applyProtection="0"/>
    <xf numFmtId="164" fontId="4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27" applyNumberFormat="0" applyFill="0" applyAlignment="0" applyProtection="0"/>
    <xf numFmtId="0" fontId="31" fillId="0" borderId="28" applyNumberFormat="0" applyFill="0" applyAlignment="0" applyProtection="0"/>
    <xf numFmtId="0" fontId="32" fillId="0" borderId="29" applyNumberFormat="0" applyFill="0" applyAlignment="0" applyProtection="0"/>
    <xf numFmtId="0" fontId="32" fillId="0" borderId="0" applyNumberFormat="0" applyFill="0" applyBorder="0" applyAlignment="0" applyProtection="0"/>
    <xf numFmtId="0" fontId="33" fillId="0" borderId="30" applyNumberFormat="0" applyFill="0" applyAlignment="0" applyProtection="0"/>
    <xf numFmtId="0" fontId="3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4" fillId="0" borderId="0"/>
    <xf numFmtId="0" fontId="1" fillId="0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16" borderId="0" applyNumberFormat="0" applyBorder="0" applyAlignment="0" applyProtection="0"/>
    <xf numFmtId="0" fontId="1" fillId="12" borderId="0" applyNumberFormat="0" applyBorder="0" applyAlignment="0" applyProtection="0"/>
    <xf numFmtId="0" fontId="1" fillId="17" borderId="0" applyNumberFormat="0" applyBorder="0" applyAlignment="0" applyProtection="0"/>
    <xf numFmtId="0" fontId="34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76" fillId="0" borderId="0" applyFont="0" applyFill="0" applyBorder="0" applyAlignment="0" applyProtection="0"/>
    <xf numFmtId="0" fontId="78" fillId="0" borderId="0" applyNumberFormat="0" applyFill="0" applyBorder="0" applyAlignment="0" applyProtection="0"/>
  </cellStyleXfs>
  <cellXfs count="802">
    <xf numFmtId="0" fontId="0" fillId="0" borderId="0" xfId="0"/>
    <xf numFmtId="4" fontId="0" fillId="0" borderId="0" xfId="0" applyNumberFormat="1"/>
    <xf numFmtId="4" fontId="6" fillId="0" borderId="0" xfId="0" applyNumberFormat="1" applyFont="1"/>
    <xf numFmtId="1" fontId="5" fillId="0" borderId="0" xfId="0" applyNumberFormat="1" applyFont="1" applyAlignment="1">
      <alignment horizontal="center" vertical="top"/>
    </xf>
    <xf numFmtId="0" fontId="5" fillId="0" borderId="0" xfId="0" applyFont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top"/>
    </xf>
    <xf numFmtId="0" fontId="5" fillId="0" borderId="2" xfId="0" applyFont="1" applyBorder="1" applyAlignment="1">
      <alignment horizontal="justify" vertical="center"/>
    </xf>
    <xf numFmtId="0" fontId="5" fillId="0" borderId="2" xfId="0" applyFont="1" applyBorder="1" applyAlignment="1">
      <alignment horizontal="center" vertical="center" wrapText="1"/>
    </xf>
    <xf numFmtId="164" fontId="5" fillId="0" borderId="2" xfId="36" applyFont="1" applyBorder="1" applyAlignment="1">
      <alignment horizontal="center" vertical="center"/>
    </xf>
    <xf numFmtId="165" fontId="5" fillId="0" borderId="2" xfId="36" applyNumberFormat="1" applyFont="1" applyBorder="1" applyAlignment="1">
      <alignment vertical="center"/>
    </xf>
    <xf numFmtId="164" fontId="5" fillId="0" borderId="2" xfId="36" applyFont="1" applyBorder="1" applyAlignment="1">
      <alignment vertical="center"/>
    </xf>
    <xf numFmtId="164" fontId="5" fillId="0" borderId="3" xfId="36" applyFont="1" applyBorder="1" applyAlignment="1">
      <alignment vertical="center"/>
    </xf>
    <xf numFmtId="0" fontId="6" fillId="9" borderId="0" xfId="0" applyFont="1" applyFill="1" applyAlignment="1">
      <alignment horizontal="center" vertical="center"/>
    </xf>
    <xf numFmtId="0" fontId="6" fillId="9" borderId="0" xfId="0" applyFont="1" applyFill="1" applyAlignment="1">
      <alignment vertical="center" wrapText="1"/>
    </xf>
    <xf numFmtId="164" fontId="6" fillId="9" borderId="0" xfId="0" applyNumberFormat="1" applyFont="1" applyFill="1" applyAlignment="1">
      <alignment vertical="center" wrapText="1"/>
    </xf>
    <xf numFmtId="164" fontId="5" fillId="0" borderId="0" xfId="36" applyFont="1" applyAlignment="1">
      <alignment horizontal="center" vertical="center"/>
    </xf>
    <xf numFmtId="0" fontId="10" fillId="9" borderId="0" xfId="0" applyFont="1" applyFill="1" applyAlignment="1">
      <alignment horizontal="center" vertical="center"/>
    </xf>
    <xf numFmtId="0" fontId="10" fillId="9" borderId="0" xfId="0" applyFont="1" applyFill="1" applyAlignment="1">
      <alignment vertical="center" wrapText="1"/>
    </xf>
    <xf numFmtId="164" fontId="10" fillId="9" borderId="0" xfId="0" applyNumberFormat="1" applyFont="1" applyFill="1" applyAlignment="1">
      <alignment vertical="center" wrapText="1"/>
    </xf>
    <xf numFmtId="0" fontId="10" fillId="0" borderId="4" xfId="0" applyFont="1" applyBorder="1" applyAlignment="1">
      <alignment horizontal="center"/>
    </xf>
    <xf numFmtId="1" fontId="6" fillId="0" borderId="2" xfId="0" applyNumberFormat="1" applyFont="1" applyBorder="1" applyAlignment="1">
      <alignment horizontal="center" vertical="center"/>
    </xf>
    <xf numFmtId="165" fontId="6" fillId="0" borderId="2" xfId="36" applyNumberFormat="1" applyFont="1" applyBorder="1" applyAlignment="1">
      <alignment horizontal="center" vertical="center"/>
    </xf>
    <xf numFmtId="164" fontId="6" fillId="0" borderId="2" xfId="36" applyFont="1" applyBorder="1" applyAlignment="1">
      <alignment vertical="center"/>
    </xf>
    <xf numFmtId="164" fontId="6" fillId="0" borderId="3" xfId="36" applyFont="1" applyBorder="1" applyAlignment="1">
      <alignment horizontal="justify" vertical="center"/>
    </xf>
    <xf numFmtId="0" fontId="5" fillId="0" borderId="0" xfId="0" applyFont="1" applyAlignment="1">
      <alignment horizontal="center" vertical="center"/>
    </xf>
    <xf numFmtId="1" fontId="6" fillId="0" borderId="2" xfId="0" applyNumberFormat="1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 vertical="center"/>
    </xf>
    <xf numFmtId="4" fontId="0" fillId="0" borderId="5" xfId="0" applyNumberFormat="1" applyBorder="1"/>
    <xf numFmtId="4" fontId="5" fillId="0" borderId="5" xfId="0" applyNumberFormat="1" applyFont="1" applyBorder="1"/>
    <xf numFmtId="4" fontId="5" fillId="0" borderId="6" xfId="0" applyNumberFormat="1" applyFont="1" applyBorder="1"/>
    <xf numFmtId="4" fontId="5" fillId="0" borderId="7" xfId="0" applyNumberFormat="1" applyFont="1" applyBorder="1"/>
    <xf numFmtId="4" fontId="0" fillId="0" borderId="7" xfId="0" applyNumberFormat="1" applyBorder="1"/>
    <xf numFmtId="1" fontId="7" fillId="0" borderId="2" xfId="0" applyNumberFormat="1" applyFont="1" applyBorder="1" applyAlignment="1">
      <alignment horizontal="center" vertical="top"/>
    </xf>
    <xf numFmtId="0" fontId="12" fillId="0" borderId="0" xfId="0" applyFont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9" borderId="10" xfId="0" applyFont="1" applyFill="1" applyBorder="1" applyAlignment="1">
      <alignment horizontal="center"/>
    </xf>
    <xf numFmtId="3" fontId="10" fillId="9" borderId="11" xfId="0" applyNumberFormat="1" applyFont="1" applyFill="1" applyBorder="1" applyAlignment="1">
      <alignment horizontal="center"/>
    </xf>
    <xf numFmtId="3" fontId="10" fillId="9" borderId="12" xfId="0" applyNumberFormat="1" applyFont="1" applyFill="1" applyBorder="1" applyAlignment="1">
      <alignment horizontal="center"/>
    </xf>
    <xf numFmtId="0" fontId="14" fillId="0" borderId="0" xfId="0" applyFont="1" applyAlignment="1">
      <alignment vertical="center"/>
    </xf>
    <xf numFmtId="166" fontId="15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4" fontId="10" fillId="0" borderId="0" xfId="0" applyNumberFormat="1" applyFont="1" applyAlignment="1">
      <alignment vertical="center"/>
    </xf>
    <xf numFmtId="4" fontId="5" fillId="0" borderId="0" xfId="0" applyNumberFormat="1" applyFont="1"/>
    <xf numFmtId="4" fontId="5" fillId="10" borderId="0" xfId="0" applyNumberFormat="1" applyFont="1" applyFill="1"/>
    <xf numFmtId="4" fontId="5" fillId="10" borderId="6" xfId="0" applyNumberFormat="1" applyFont="1" applyFill="1" applyBorder="1"/>
    <xf numFmtId="0" fontId="5" fillId="0" borderId="13" xfId="0" applyFont="1" applyBorder="1"/>
    <xf numFmtId="0" fontId="5" fillId="0" borderId="14" xfId="0" applyFont="1" applyBorder="1"/>
    <xf numFmtId="0" fontId="5" fillId="10" borderId="13" xfId="0" applyFont="1" applyFill="1" applyBorder="1"/>
    <xf numFmtId="4" fontId="5" fillId="10" borderId="15" xfId="0" applyNumberFormat="1" applyFont="1" applyFill="1" applyBorder="1"/>
    <xf numFmtId="0" fontId="12" fillId="0" borderId="0" xfId="0" applyFont="1" applyAlignment="1">
      <alignment horizontal="right"/>
    </xf>
    <xf numFmtId="0" fontId="38" fillId="0" borderId="0" xfId="0" applyFont="1" applyAlignment="1">
      <alignment horizontal="center"/>
    </xf>
    <xf numFmtId="0" fontId="39" fillId="0" borderId="0" xfId="0" applyFont="1"/>
    <xf numFmtId="0" fontId="41" fillId="0" borderId="0" xfId="0" applyFont="1"/>
    <xf numFmtId="0" fontId="38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0" fontId="39" fillId="0" borderId="0" xfId="0" applyFont="1" applyAlignment="1">
      <alignment horizontal="justify" vertical="top" wrapText="1"/>
    </xf>
    <xf numFmtId="0" fontId="39" fillId="0" borderId="0" xfId="0" applyFont="1" applyAlignment="1">
      <alignment vertical="center" wrapText="1"/>
    </xf>
    <xf numFmtId="0" fontId="38" fillId="0" borderId="31" xfId="45" applyFont="1" applyBorder="1" applyAlignment="1">
      <alignment horizontal="left" vertical="center"/>
    </xf>
    <xf numFmtId="0" fontId="39" fillId="0" borderId="31" xfId="45" applyFont="1" applyBorder="1"/>
    <xf numFmtId="4" fontId="39" fillId="0" borderId="31" xfId="45" applyNumberFormat="1" applyFont="1" applyBorder="1" applyAlignment="1">
      <alignment vertical="center"/>
    </xf>
    <xf numFmtId="0" fontId="38" fillId="0" borderId="31" xfId="45" applyFont="1" applyBorder="1" applyAlignment="1">
      <alignment horizontal="right" vertical="center"/>
    </xf>
    <xf numFmtId="14" fontId="39" fillId="0" borderId="0" xfId="45" applyNumberFormat="1" applyFont="1" applyAlignment="1">
      <alignment horizontal="center" vertical="center"/>
    </xf>
    <xf numFmtId="0" fontId="39" fillId="0" borderId="31" xfId="45" applyFont="1" applyBorder="1" applyAlignment="1">
      <alignment horizontal="left" vertical="center"/>
    </xf>
    <xf numFmtId="4" fontId="38" fillId="0" borderId="31" xfId="45" applyNumberFormat="1" applyFont="1" applyBorder="1" applyAlignment="1">
      <alignment horizontal="right" vertical="center"/>
    </xf>
    <xf numFmtId="14" fontId="38" fillId="0" borderId="31" xfId="45" applyNumberFormat="1" applyFont="1" applyBorder="1" applyAlignment="1">
      <alignment horizontal="center" vertical="center"/>
    </xf>
    <xf numFmtId="4" fontId="38" fillId="0" borderId="31" xfId="45" applyNumberFormat="1" applyFont="1" applyBorder="1" applyAlignment="1">
      <alignment vertical="center"/>
    </xf>
    <xf numFmtId="0" fontId="37" fillId="0" borderId="0" xfId="0" applyFont="1" applyAlignment="1">
      <alignment vertical="center"/>
    </xf>
    <xf numFmtId="0" fontId="42" fillId="0" borderId="0" xfId="0" applyFo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38" fillId="0" borderId="0" xfId="0" applyFont="1" applyAlignment="1">
      <alignment horizontal="center" vertical="center" wrapText="1"/>
    </xf>
    <xf numFmtId="0" fontId="39" fillId="0" borderId="0" xfId="51" applyFont="1"/>
    <xf numFmtId="0" fontId="43" fillId="0" borderId="0" xfId="0" applyFont="1"/>
    <xf numFmtId="0" fontId="36" fillId="38" borderId="37" xfId="0" applyFont="1" applyFill="1" applyBorder="1" applyAlignment="1">
      <alignment horizontal="center" vertical="center"/>
    </xf>
    <xf numFmtId="14" fontId="39" fillId="0" borderId="31" xfId="45" applyNumberFormat="1" applyFont="1" applyBorder="1" applyAlignment="1">
      <alignment horizontal="center" vertical="center"/>
    </xf>
    <xf numFmtId="0" fontId="39" fillId="0" borderId="0" xfId="0" applyFont="1" applyAlignment="1">
      <alignment vertical="center"/>
    </xf>
    <xf numFmtId="0" fontId="38" fillId="0" borderId="0" xfId="45" applyFont="1" applyAlignment="1">
      <alignment horizontal="left" vertical="center"/>
    </xf>
    <xf numFmtId="0" fontId="39" fillId="0" borderId="0" xfId="45" applyFont="1"/>
    <xf numFmtId="0" fontId="38" fillId="0" borderId="0" xfId="45" applyFont="1" applyAlignment="1">
      <alignment horizontal="right" vertical="center"/>
    </xf>
    <xf numFmtId="0" fontId="39" fillId="0" borderId="0" xfId="45" applyFont="1" applyAlignment="1">
      <alignment horizontal="left" vertical="center"/>
    </xf>
    <xf numFmtId="0" fontId="46" fillId="38" borderId="0" xfId="49" applyFont="1" applyFill="1" applyAlignment="1">
      <alignment horizontal="center" vertical="center"/>
    </xf>
    <xf numFmtId="0" fontId="36" fillId="38" borderId="0" xfId="49" applyFont="1" applyFill="1" applyAlignment="1">
      <alignment horizontal="left" vertical="center"/>
    </xf>
    <xf numFmtId="3" fontId="36" fillId="38" borderId="0" xfId="49" applyNumberFormat="1" applyFont="1" applyFill="1" applyAlignment="1">
      <alignment horizontal="left" vertical="center"/>
    </xf>
    <xf numFmtId="0" fontId="46" fillId="38" borderId="0" xfId="49" applyFont="1" applyFill="1" applyAlignment="1">
      <alignment horizontal="left" vertical="center"/>
    </xf>
    <xf numFmtId="0" fontId="39" fillId="0" borderId="0" xfId="49" applyFont="1" applyAlignment="1">
      <alignment horizontal="center" vertical="center"/>
    </xf>
    <xf numFmtId="0" fontId="42" fillId="0" borderId="0" xfId="49" applyFont="1" applyAlignment="1">
      <alignment horizontal="center" vertical="center"/>
    </xf>
    <xf numFmtId="3" fontId="42" fillId="0" borderId="0" xfId="49" applyNumberFormat="1" applyFont="1" applyAlignment="1">
      <alignment horizontal="center" vertical="center"/>
    </xf>
    <xf numFmtId="3" fontId="42" fillId="0" borderId="0" xfId="49" applyNumberFormat="1" applyFont="1" applyAlignment="1">
      <alignment horizontal="left" vertical="center"/>
    </xf>
    <xf numFmtId="0" fontId="42" fillId="0" borderId="0" xfId="49" applyFont="1" applyAlignment="1">
      <alignment horizontal="left" vertical="center"/>
    </xf>
    <xf numFmtId="10" fontId="42" fillId="0" borderId="0" xfId="50" applyNumberFormat="1" applyFont="1" applyAlignment="1">
      <alignment horizontal="center" vertical="center"/>
    </xf>
    <xf numFmtId="3" fontId="39" fillId="0" borderId="0" xfId="49" applyNumberFormat="1" applyFont="1" applyAlignment="1">
      <alignment horizontal="center" vertical="center"/>
    </xf>
    <xf numFmtId="3" fontId="39" fillId="0" borderId="0" xfId="49" applyNumberFormat="1" applyFont="1" applyAlignment="1">
      <alignment horizontal="left" vertical="center"/>
    </xf>
    <xf numFmtId="0" fontId="39" fillId="0" borderId="0" xfId="49" applyFont="1" applyAlignment="1">
      <alignment horizontal="left" vertical="center"/>
    </xf>
    <xf numFmtId="0" fontId="36" fillId="38" borderId="0" xfId="49" applyFont="1" applyFill="1" applyAlignment="1">
      <alignment horizontal="center" vertical="center"/>
    </xf>
    <xf numFmtId="3" fontId="36" fillId="38" borderId="0" xfId="49" applyNumberFormat="1" applyFont="1" applyFill="1" applyAlignment="1">
      <alignment horizontal="center" vertical="center" wrapText="1"/>
    </xf>
    <xf numFmtId="0" fontId="36" fillId="38" borderId="0" xfId="49" applyFont="1" applyFill="1" applyAlignment="1">
      <alignment horizontal="center" vertical="center" wrapText="1"/>
    </xf>
    <xf numFmtId="3" fontId="36" fillId="38" borderId="38" xfId="49" applyNumberFormat="1" applyFont="1" applyFill="1" applyBorder="1" applyAlignment="1">
      <alignment horizontal="center" vertical="center"/>
    </xf>
    <xf numFmtId="3" fontId="42" fillId="35" borderId="35" xfId="49" applyNumberFormat="1" applyFont="1" applyFill="1" applyBorder="1" applyAlignment="1">
      <alignment horizontal="center" vertical="center"/>
    </xf>
    <xf numFmtId="4" fontId="42" fillId="40" borderId="35" xfId="49" applyNumberFormat="1" applyFont="1" applyFill="1" applyBorder="1" applyAlignment="1">
      <alignment horizontal="center" vertical="center"/>
    </xf>
    <xf numFmtId="3" fontId="42" fillId="40" borderId="35" xfId="49" applyNumberFormat="1" applyFont="1" applyFill="1" applyBorder="1" applyAlignment="1">
      <alignment horizontal="center" vertical="center"/>
    </xf>
    <xf numFmtId="4" fontId="37" fillId="40" borderId="35" xfId="49" applyNumberFormat="1" applyFont="1" applyFill="1" applyBorder="1" applyAlignment="1">
      <alignment horizontal="center" vertical="center"/>
    </xf>
    <xf numFmtId="3" fontId="37" fillId="40" borderId="35" xfId="49" applyNumberFormat="1" applyFont="1" applyFill="1" applyBorder="1" applyAlignment="1">
      <alignment horizontal="center" vertical="center"/>
    </xf>
    <xf numFmtId="4" fontId="36" fillId="38" borderId="40" xfId="49" applyNumberFormat="1" applyFont="1" applyFill="1" applyBorder="1" applyAlignment="1">
      <alignment horizontal="center" vertical="center"/>
    </xf>
    <xf numFmtId="4" fontId="42" fillId="40" borderId="39" xfId="49" applyNumberFormat="1" applyFont="1" applyFill="1" applyBorder="1" applyAlignment="1">
      <alignment horizontal="center" vertical="center"/>
    </xf>
    <xf numFmtId="3" fontId="42" fillId="35" borderId="39" xfId="49" applyNumberFormat="1" applyFont="1" applyFill="1" applyBorder="1" applyAlignment="1">
      <alignment horizontal="center" vertical="center"/>
    </xf>
    <xf numFmtId="14" fontId="39" fillId="0" borderId="31" xfId="45" applyNumberFormat="1" applyFont="1" applyBorder="1" applyAlignment="1">
      <alignment horizontal="left" vertical="center"/>
    </xf>
    <xf numFmtId="0" fontId="39" fillId="0" borderId="0" xfId="49" applyFont="1"/>
    <xf numFmtId="0" fontId="38" fillId="0" borderId="34" xfId="0" applyFont="1" applyBorder="1" applyAlignment="1">
      <alignment horizontal="center"/>
    </xf>
    <xf numFmtId="0" fontId="38" fillId="0" borderId="34" xfId="45" applyFont="1" applyBorder="1" applyAlignment="1">
      <alignment horizontal="left" vertical="center"/>
    </xf>
    <xf numFmtId="0" fontId="38" fillId="0" borderId="0" xfId="49" applyFont="1" applyAlignment="1">
      <alignment horizontal="center" vertical="center"/>
    </xf>
    <xf numFmtId="0" fontId="38" fillId="0" borderId="0" xfId="49" applyFont="1" applyAlignment="1">
      <alignment vertical="center"/>
    </xf>
    <xf numFmtId="14" fontId="38" fillId="0" borderId="0" xfId="49" applyNumberFormat="1" applyFont="1" applyAlignment="1">
      <alignment horizontal="center" vertical="center"/>
    </xf>
    <xf numFmtId="0" fontId="38" fillId="0" borderId="32" xfId="49" applyFont="1" applyBorder="1" applyAlignment="1">
      <alignment horizontal="center" vertical="center"/>
    </xf>
    <xf numFmtId="4" fontId="38" fillId="0" borderId="0" xfId="45" applyNumberFormat="1" applyFont="1" applyAlignment="1">
      <alignment horizontal="right" vertical="center"/>
    </xf>
    <xf numFmtId="4" fontId="39" fillId="0" borderId="0" xfId="45" applyNumberFormat="1" applyFont="1" applyAlignment="1">
      <alignment vertical="center"/>
    </xf>
    <xf numFmtId="4" fontId="38" fillId="0" borderId="0" xfId="45" applyNumberFormat="1" applyFont="1" applyAlignment="1">
      <alignment vertical="center"/>
    </xf>
    <xf numFmtId="0" fontId="39" fillId="0" borderId="0" xfId="45" applyFont="1" applyAlignment="1">
      <alignment vertical="center"/>
    </xf>
    <xf numFmtId="0" fontId="39" fillId="0" borderId="0" xfId="45" applyFont="1" applyAlignment="1">
      <alignment vertical="top"/>
    </xf>
    <xf numFmtId="4" fontId="39" fillId="0" borderId="0" xfId="45" applyNumberFormat="1" applyFont="1" applyAlignment="1">
      <alignment vertical="top"/>
    </xf>
    <xf numFmtId="164" fontId="38" fillId="0" borderId="0" xfId="45" applyNumberFormat="1" applyFont="1" applyAlignment="1">
      <alignment horizontal="center" vertical="center"/>
    </xf>
    <xf numFmtId="1" fontId="38" fillId="0" borderId="0" xfId="45" applyNumberFormat="1" applyFont="1" applyAlignment="1">
      <alignment horizontal="center" vertical="center"/>
    </xf>
    <xf numFmtId="43" fontId="38" fillId="0" borderId="0" xfId="47" applyNumberFormat="1" applyFont="1" applyAlignment="1">
      <alignment horizontal="center" vertical="center"/>
    </xf>
    <xf numFmtId="0" fontId="48" fillId="0" borderId="0" xfId="45" applyFont="1" applyAlignment="1">
      <alignment horizontal="left" vertical="center"/>
    </xf>
    <xf numFmtId="0" fontId="38" fillId="0" borderId="0" xfId="45" applyFont="1" applyAlignment="1">
      <alignment vertical="center"/>
    </xf>
    <xf numFmtId="0" fontId="38" fillId="0" borderId="0" xfId="45" applyFont="1" applyAlignment="1">
      <alignment vertical="center" wrapText="1"/>
    </xf>
    <xf numFmtId="0" fontId="39" fillId="0" borderId="0" xfId="45" applyFont="1" applyAlignment="1">
      <alignment horizontal="right"/>
    </xf>
    <xf numFmtId="0" fontId="39" fillId="0" borderId="0" xfId="45" applyFont="1" applyAlignment="1">
      <alignment horizontal="right" vertical="center"/>
    </xf>
    <xf numFmtId="0" fontId="38" fillId="0" borderId="0" xfId="45" applyFont="1" applyAlignment="1">
      <alignment horizontal="right"/>
    </xf>
    <xf numFmtId="0" fontId="39" fillId="0" borderId="0" xfId="45" applyFont="1" applyAlignment="1">
      <alignment horizontal="center"/>
    </xf>
    <xf numFmtId="0" fontId="36" fillId="38" borderId="0" xfId="45" applyFont="1" applyFill="1" applyAlignment="1">
      <alignment vertical="center" wrapText="1"/>
    </xf>
    <xf numFmtId="1" fontId="42" fillId="0" borderId="0" xfId="45" applyNumberFormat="1" applyFont="1" applyAlignment="1">
      <alignment horizontal="center" vertical="center"/>
    </xf>
    <xf numFmtId="0" fontId="42" fillId="0" borderId="0" xfId="45" applyFont="1" applyAlignment="1">
      <alignment horizontal="left" vertical="center"/>
    </xf>
    <xf numFmtId="0" fontId="42" fillId="0" borderId="0" xfId="45" applyFont="1" applyAlignment="1">
      <alignment vertical="center"/>
    </xf>
    <xf numFmtId="10" fontId="42" fillId="0" borderId="0" xfId="46" applyNumberFormat="1" applyFont="1" applyAlignment="1">
      <alignment horizontal="left" vertical="center"/>
    </xf>
    <xf numFmtId="4" fontId="42" fillId="0" borderId="0" xfId="45" applyNumberFormat="1" applyFont="1" applyAlignment="1">
      <alignment vertical="center"/>
    </xf>
    <xf numFmtId="43" fontId="42" fillId="0" borderId="0" xfId="47" applyNumberFormat="1" applyFont="1" applyAlignment="1">
      <alignment vertical="center"/>
    </xf>
    <xf numFmtId="1" fontId="37" fillId="36" borderId="0" xfId="45" applyNumberFormat="1" applyFont="1" applyFill="1" applyAlignment="1">
      <alignment horizontal="center" vertical="center"/>
    </xf>
    <xf numFmtId="0" fontId="37" fillId="36" borderId="0" xfId="45" applyFont="1" applyFill="1" applyAlignment="1">
      <alignment horizontal="left" vertical="center"/>
    </xf>
    <xf numFmtId="0" fontId="49" fillId="36" borderId="0" xfId="45" applyFont="1" applyFill="1" applyAlignment="1">
      <alignment horizontal="left" vertical="center"/>
    </xf>
    <xf numFmtId="43" fontId="37" fillId="36" borderId="0" xfId="47" applyNumberFormat="1" applyFont="1" applyFill="1" applyAlignment="1">
      <alignment horizontal="center" vertical="center"/>
    </xf>
    <xf numFmtId="4" fontId="37" fillId="36" borderId="0" xfId="45" applyNumberFormat="1" applyFont="1" applyFill="1" applyAlignment="1">
      <alignment vertical="center"/>
    </xf>
    <xf numFmtId="0" fontId="43" fillId="0" borderId="0" xfId="45" applyFont="1" applyAlignment="1">
      <alignment vertical="center"/>
    </xf>
    <xf numFmtId="0" fontId="44" fillId="0" borderId="0" xfId="45" applyFont="1" applyAlignment="1">
      <alignment vertical="center"/>
    </xf>
    <xf numFmtId="0" fontId="44" fillId="0" borderId="0" xfId="45" applyFont="1"/>
    <xf numFmtId="0" fontId="44" fillId="0" borderId="0" xfId="45" applyFont="1" applyAlignment="1">
      <alignment horizontal="right"/>
    </xf>
    <xf numFmtId="0" fontId="44" fillId="0" borderId="0" xfId="45" applyFont="1" applyAlignment="1">
      <alignment horizontal="center" vertical="top"/>
    </xf>
    <xf numFmtId="0" fontId="45" fillId="35" borderId="0" xfId="45" applyFont="1" applyFill="1" applyAlignment="1">
      <alignment horizontal="center" vertical="center"/>
    </xf>
    <xf numFmtId="0" fontId="45" fillId="35" borderId="0" xfId="45" applyFont="1" applyFill="1" applyAlignment="1">
      <alignment horizontal="left" vertical="center"/>
    </xf>
    <xf numFmtId="0" fontId="45" fillId="35" borderId="0" xfId="45" applyFont="1" applyFill="1" applyAlignment="1">
      <alignment horizontal="right" vertical="center"/>
    </xf>
    <xf numFmtId="4" fontId="43" fillId="34" borderId="0" xfId="45" applyNumberFormat="1" applyFont="1" applyFill="1" applyAlignment="1">
      <alignment horizontal="center" vertical="center"/>
    </xf>
    <xf numFmtId="0" fontId="43" fillId="0" borderId="0" xfId="45" applyFont="1" applyAlignment="1">
      <alignment horizontal="center" vertical="center"/>
    </xf>
    <xf numFmtId="0" fontId="43" fillId="0" borderId="0" xfId="45" applyFont="1" applyAlignment="1">
      <alignment horizontal="justify" vertical="center" wrapText="1"/>
    </xf>
    <xf numFmtId="2" fontId="43" fillId="0" borderId="0" xfId="45" applyNumberFormat="1" applyFont="1" applyAlignment="1">
      <alignment horizontal="right" vertical="center"/>
    </xf>
    <xf numFmtId="4" fontId="43" fillId="0" borderId="0" xfId="45" applyNumberFormat="1" applyFont="1" applyAlignment="1">
      <alignment vertical="center"/>
    </xf>
    <xf numFmtId="3" fontId="43" fillId="0" borderId="0" xfId="45" applyNumberFormat="1" applyFont="1" applyAlignment="1">
      <alignment horizontal="center" vertical="center"/>
    </xf>
    <xf numFmtId="4" fontId="43" fillId="34" borderId="0" xfId="48" applyNumberFormat="1" applyFont="1" applyFill="1" applyAlignment="1">
      <alignment horizontal="right" vertical="center"/>
    </xf>
    <xf numFmtId="3" fontId="43" fillId="34" borderId="0" xfId="48" applyNumberFormat="1" applyFont="1" applyFill="1" applyAlignment="1">
      <alignment horizontal="center" vertical="center"/>
    </xf>
    <xf numFmtId="1" fontId="43" fillId="34" borderId="0" xfId="45" applyNumberFormat="1" applyFont="1" applyFill="1" applyAlignment="1">
      <alignment vertical="center"/>
    </xf>
    <xf numFmtId="1" fontId="43" fillId="34" borderId="0" xfId="45" applyNumberFormat="1" applyFont="1" applyFill="1" applyAlignment="1">
      <alignment horizontal="center" vertical="center"/>
    </xf>
    <xf numFmtId="4" fontId="43" fillId="34" borderId="0" xfId="48" applyNumberFormat="1" applyFont="1" applyFill="1" applyAlignment="1">
      <alignment horizontal="center" vertical="center"/>
    </xf>
    <xf numFmtId="4" fontId="43" fillId="34" borderId="0" xfId="45" applyNumberFormat="1" applyFont="1" applyFill="1" applyAlignment="1">
      <alignment horizontal="justify" vertical="center"/>
    </xf>
    <xf numFmtId="0" fontId="45" fillId="35" borderId="0" xfId="45" applyFont="1" applyFill="1" applyAlignment="1">
      <alignment vertical="center"/>
    </xf>
    <xf numFmtId="4" fontId="45" fillId="35" borderId="0" xfId="45" applyNumberFormat="1" applyFont="1" applyFill="1" applyAlignment="1">
      <alignment vertical="center"/>
    </xf>
    <xf numFmtId="4" fontId="43" fillId="34" borderId="0" xfId="45" applyNumberFormat="1" applyFont="1" applyFill="1" applyAlignment="1">
      <alignment vertical="center"/>
    </xf>
    <xf numFmtId="0" fontId="45" fillId="0" borderId="0" xfId="45" applyFont="1" applyAlignment="1">
      <alignment horizontal="justify" vertical="center" wrapText="1"/>
    </xf>
    <xf numFmtId="0" fontId="43" fillId="0" borderId="0" xfId="45" applyFont="1" applyAlignment="1">
      <alignment horizontal="right" vertical="center"/>
    </xf>
    <xf numFmtId="4" fontId="45" fillId="0" borderId="0" xfId="45" applyNumberFormat="1" applyFont="1" applyAlignment="1">
      <alignment vertical="center"/>
    </xf>
    <xf numFmtId="4" fontId="45" fillId="35" borderId="0" xfId="45" applyNumberFormat="1" applyFont="1" applyFill="1" applyAlignment="1">
      <alignment horizontal="right" vertical="center"/>
    </xf>
    <xf numFmtId="0" fontId="45" fillId="35" borderId="32" xfId="45" applyFont="1" applyFill="1" applyBorder="1" applyAlignment="1">
      <alignment horizontal="center" vertical="center"/>
    </xf>
    <xf numFmtId="0" fontId="45" fillId="35" borderId="32" xfId="45" applyFont="1" applyFill="1" applyBorder="1" applyAlignment="1">
      <alignment horizontal="left" vertical="center"/>
    </xf>
    <xf numFmtId="0" fontId="45" fillId="35" borderId="32" xfId="45" applyFont="1" applyFill="1" applyBorder="1" applyAlignment="1">
      <alignment horizontal="right" vertical="center"/>
    </xf>
    <xf numFmtId="0" fontId="35" fillId="40" borderId="37" xfId="45" applyFont="1" applyFill="1" applyBorder="1" applyAlignment="1">
      <alignment horizontal="center" vertical="center"/>
    </xf>
    <xf numFmtId="0" fontId="35" fillId="40" borderId="37" xfId="45" applyFont="1" applyFill="1" applyBorder="1" applyAlignment="1">
      <alignment vertical="center"/>
    </xf>
    <xf numFmtId="0" fontId="35" fillId="40" borderId="37" xfId="45" applyFont="1" applyFill="1" applyBorder="1" applyAlignment="1">
      <alignment horizontal="right" vertical="center"/>
    </xf>
    <xf numFmtId="0" fontId="39" fillId="0" borderId="0" xfId="45" applyFont="1" applyAlignment="1">
      <alignment horizontal="center" vertical="center"/>
    </xf>
    <xf numFmtId="4" fontId="43" fillId="0" borderId="0" xfId="45" applyNumberFormat="1" applyFont="1" applyAlignment="1">
      <alignment horizontal="center" vertical="center"/>
    </xf>
    <xf numFmtId="0" fontId="44" fillId="0" borderId="0" xfId="45" applyFont="1" applyAlignment="1">
      <alignment horizontal="center"/>
    </xf>
    <xf numFmtId="0" fontId="39" fillId="0" borderId="0" xfId="49" applyFont="1" applyAlignment="1">
      <alignment vertical="center"/>
    </xf>
    <xf numFmtId="0" fontId="39" fillId="0" borderId="31" xfId="45" applyFont="1" applyBorder="1" applyAlignment="1">
      <alignment horizontal="justify" vertical="center" wrapText="1"/>
    </xf>
    <xf numFmtId="0" fontId="39" fillId="0" borderId="31" xfId="45" applyFont="1" applyBorder="1" applyAlignment="1">
      <alignment vertical="center"/>
    </xf>
    <xf numFmtId="0" fontId="39" fillId="0" borderId="32" xfId="49" applyFont="1" applyBorder="1" applyAlignment="1">
      <alignment vertical="center"/>
    </xf>
    <xf numFmtId="10" fontId="50" fillId="34" borderId="0" xfId="46" applyNumberFormat="1" applyFont="1" applyFill="1" applyAlignment="1">
      <alignment horizontal="right" vertical="center"/>
    </xf>
    <xf numFmtId="10" fontId="50" fillId="0" borderId="0" xfId="46" applyNumberFormat="1" applyFont="1" applyAlignment="1">
      <alignment horizontal="right" vertical="center"/>
    </xf>
    <xf numFmtId="10" fontId="51" fillId="0" borderId="0" xfId="46" applyNumberFormat="1" applyFont="1" applyAlignment="1">
      <alignment horizontal="right" vertical="center"/>
    </xf>
    <xf numFmtId="0" fontId="39" fillId="0" borderId="0" xfId="49" applyFont="1" applyAlignment="1">
      <alignment horizontal="justify"/>
    </xf>
    <xf numFmtId="0" fontId="54" fillId="0" borderId="0" xfId="0" applyFont="1"/>
    <xf numFmtId="0" fontId="54" fillId="0" borderId="0" xfId="0" applyFont="1" applyAlignment="1">
      <alignment vertical="center"/>
    </xf>
    <xf numFmtId="14" fontId="39" fillId="0" borderId="0" xfId="45" applyNumberFormat="1" applyFont="1" applyAlignment="1">
      <alignment vertical="center"/>
    </xf>
    <xf numFmtId="4" fontId="39" fillId="0" borderId="0" xfId="0" applyNumberFormat="1" applyFont="1" applyAlignment="1">
      <alignment vertical="center"/>
    </xf>
    <xf numFmtId="0" fontId="42" fillId="34" borderId="42" xfId="51" applyFont="1" applyFill="1" applyBorder="1" applyAlignment="1">
      <alignment vertical="center"/>
    </xf>
    <xf numFmtId="0" fontId="42" fillId="34" borderId="42" xfId="51" applyFont="1" applyFill="1" applyBorder="1" applyAlignment="1">
      <alignment horizontal="center" vertical="center"/>
    </xf>
    <xf numFmtId="0" fontId="37" fillId="34" borderId="42" xfId="49" applyFont="1" applyFill="1" applyBorder="1" applyAlignment="1">
      <alignment horizontal="left" vertical="center"/>
    </xf>
    <xf numFmtId="0" fontId="42" fillId="34" borderId="42" xfId="49" applyFont="1" applyFill="1" applyBorder="1" applyAlignment="1">
      <alignment horizontal="center" vertical="center"/>
    </xf>
    <xf numFmtId="0" fontId="42" fillId="34" borderId="42" xfId="49" applyFont="1" applyFill="1" applyBorder="1" applyAlignment="1">
      <alignment horizontal="left" vertical="center"/>
    </xf>
    <xf numFmtId="0" fontId="37" fillId="34" borderId="42" xfId="49" applyFont="1" applyFill="1" applyBorder="1" applyAlignment="1">
      <alignment horizontal="center" vertical="center"/>
    </xf>
    <xf numFmtId="3" fontId="42" fillId="34" borderId="42" xfId="49" applyNumberFormat="1" applyFont="1" applyFill="1" applyBorder="1" applyAlignment="1">
      <alignment vertical="center"/>
    </xf>
    <xf numFmtId="3" fontId="47" fillId="34" borderId="42" xfId="49" applyNumberFormat="1" applyFont="1" applyFill="1" applyBorder="1" applyAlignment="1">
      <alignment horizontal="left" vertical="center"/>
    </xf>
    <xf numFmtId="3" fontId="42" fillId="34" borderId="42" xfId="49" applyNumberFormat="1" applyFont="1" applyFill="1" applyBorder="1" applyAlignment="1">
      <alignment horizontal="left" vertical="center"/>
    </xf>
    <xf numFmtId="0" fontId="47" fillId="34" borderId="42" xfId="49" applyFont="1" applyFill="1" applyBorder="1" applyAlignment="1">
      <alignment horizontal="left" vertical="center"/>
    </xf>
    <xf numFmtId="0" fontId="42" fillId="34" borderId="42" xfId="49" applyFont="1" applyFill="1" applyBorder="1" applyAlignment="1">
      <alignment vertical="center" wrapText="1"/>
    </xf>
    <xf numFmtId="0" fontId="47" fillId="34" borderId="42" xfId="49" applyFont="1" applyFill="1" applyBorder="1" applyAlignment="1">
      <alignment horizontal="left" vertical="center" wrapText="1"/>
    </xf>
    <xf numFmtId="3" fontId="37" fillId="34" borderId="42" xfId="49" applyNumberFormat="1" applyFont="1" applyFill="1" applyBorder="1" applyAlignment="1">
      <alignment vertical="center"/>
    </xf>
    <xf numFmtId="3" fontId="37" fillId="34" borderId="42" xfId="49" applyNumberFormat="1" applyFont="1" applyFill="1" applyBorder="1" applyAlignment="1">
      <alignment horizontal="left" vertical="center"/>
    </xf>
    <xf numFmtId="0" fontId="42" fillId="34" borderId="42" xfId="45" applyFont="1" applyFill="1" applyBorder="1" applyAlignment="1">
      <alignment horizontal="left" vertical="center"/>
    </xf>
    <xf numFmtId="43" fontId="42" fillId="34" borderId="42" xfId="47" applyNumberFormat="1" applyFont="1" applyFill="1" applyBorder="1" applyAlignment="1">
      <alignment horizontal="left" vertical="center"/>
    </xf>
    <xf numFmtId="4" fontId="42" fillId="34" borderId="42" xfId="45" applyNumberFormat="1" applyFont="1" applyFill="1" applyBorder="1" applyAlignment="1">
      <alignment vertical="center"/>
    </xf>
    <xf numFmtId="10" fontId="42" fillId="34" borderId="42" xfId="46" applyNumberFormat="1" applyFont="1" applyFill="1" applyBorder="1" applyAlignment="1">
      <alignment vertical="center"/>
    </xf>
    <xf numFmtId="0" fontId="42" fillId="34" borderId="42" xfId="45" applyFont="1" applyFill="1" applyBorder="1" applyAlignment="1">
      <alignment vertical="center"/>
    </xf>
    <xf numFmtId="10" fontId="42" fillId="34" borderId="42" xfId="46" applyNumberFormat="1" applyFont="1" applyFill="1" applyBorder="1" applyAlignment="1">
      <alignment horizontal="left" vertical="center"/>
    </xf>
    <xf numFmtId="43" fontId="42" fillId="34" borderId="42" xfId="47" applyNumberFormat="1" applyFont="1" applyFill="1" applyBorder="1" applyAlignment="1">
      <alignment vertical="center"/>
    </xf>
    <xf numFmtId="0" fontId="53" fillId="0" borderId="42" xfId="0" applyFont="1" applyBorder="1" applyAlignment="1">
      <alignment horizontal="center" vertical="center"/>
    </xf>
    <xf numFmtId="0" fontId="43" fillId="34" borderId="43" xfId="45" applyFont="1" applyFill="1" applyBorder="1" applyAlignment="1">
      <alignment horizontal="center" vertical="center"/>
    </xf>
    <xf numFmtId="4" fontId="43" fillId="34" borderId="43" xfId="45" applyNumberFormat="1" applyFont="1" applyFill="1" applyBorder="1" applyAlignment="1">
      <alignment horizontal="center" vertical="center"/>
    </xf>
    <xf numFmtId="0" fontId="43" fillId="34" borderId="43" xfId="45" applyFont="1" applyFill="1" applyBorder="1" applyAlignment="1">
      <alignment horizontal="justify" vertical="center" wrapText="1"/>
    </xf>
    <xf numFmtId="4" fontId="43" fillId="34" borderId="43" xfId="45" applyNumberFormat="1" applyFont="1" applyFill="1" applyBorder="1" applyAlignment="1">
      <alignment horizontal="right" vertical="center"/>
    </xf>
    <xf numFmtId="0" fontId="43" fillId="34" borderId="42" xfId="45" applyFont="1" applyFill="1" applyBorder="1" applyAlignment="1">
      <alignment horizontal="center" vertical="center"/>
    </xf>
    <xf numFmtId="4" fontId="43" fillId="34" borderId="42" xfId="45" applyNumberFormat="1" applyFont="1" applyFill="1" applyBorder="1" applyAlignment="1">
      <alignment horizontal="center" vertical="center"/>
    </xf>
    <xf numFmtId="4" fontId="43" fillId="34" borderId="42" xfId="45" applyNumberFormat="1" applyFont="1" applyFill="1" applyBorder="1" applyAlignment="1">
      <alignment horizontal="right" vertical="center"/>
    </xf>
    <xf numFmtId="1" fontId="43" fillId="34" borderId="43" xfId="45" applyNumberFormat="1" applyFont="1" applyFill="1" applyBorder="1" applyAlignment="1">
      <alignment horizontal="center" vertical="center" wrapText="1"/>
    </xf>
    <xf numFmtId="4" fontId="43" fillId="34" borderId="43" xfId="45" applyNumberFormat="1" applyFont="1" applyFill="1" applyBorder="1" applyAlignment="1">
      <alignment horizontal="left" vertical="center" wrapText="1"/>
    </xf>
    <xf numFmtId="4" fontId="43" fillId="34" borderId="43" xfId="48" applyNumberFormat="1" applyFont="1" applyFill="1" applyBorder="1" applyAlignment="1">
      <alignment horizontal="right" vertical="center"/>
    </xf>
    <xf numFmtId="3" fontId="43" fillId="34" borderId="43" xfId="48" applyNumberFormat="1" applyFont="1" applyFill="1" applyBorder="1" applyAlignment="1">
      <alignment horizontal="center" vertical="center"/>
    </xf>
    <xf numFmtId="1" fontId="43" fillId="34" borderId="43" xfId="45" applyNumberFormat="1" applyFont="1" applyFill="1" applyBorder="1" applyAlignment="1">
      <alignment vertical="center"/>
    </xf>
    <xf numFmtId="1" fontId="43" fillId="34" borderId="43" xfId="45" applyNumberFormat="1" applyFont="1" applyFill="1" applyBorder="1" applyAlignment="1">
      <alignment horizontal="center" vertical="center"/>
    </xf>
    <xf numFmtId="1" fontId="43" fillId="34" borderId="42" xfId="45" applyNumberFormat="1" applyFont="1" applyFill="1" applyBorder="1" applyAlignment="1">
      <alignment horizontal="center" vertical="center"/>
    </xf>
    <xf numFmtId="10" fontId="50" fillId="34" borderId="43" xfId="46" applyNumberFormat="1" applyFont="1" applyFill="1" applyBorder="1" applyAlignment="1">
      <alignment horizontal="right" vertical="center"/>
    </xf>
    <xf numFmtId="10" fontId="50" fillId="34" borderId="42" xfId="46" applyNumberFormat="1" applyFont="1" applyFill="1" applyBorder="1" applyAlignment="1">
      <alignment horizontal="right" vertical="center"/>
    </xf>
    <xf numFmtId="0" fontId="39" fillId="34" borderId="43" xfId="49" applyFont="1" applyFill="1" applyBorder="1" applyAlignment="1">
      <alignment horizontal="center" vertical="center"/>
    </xf>
    <xf numFmtId="0" fontId="54" fillId="43" borderId="44" xfId="0" applyFont="1" applyFill="1" applyBorder="1"/>
    <xf numFmtId="0" fontId="54" fillId="41" borderId="44" xfId="0" applyFont="1" applyFill="1" applyBorder="1"/>
    <xf numFmtId="4" fontId="38" fillId="0" borderId="0" xfId="46" applyNumberFormat="1" applyFont="1" applyAlignment="1">
      <alignment horizontal="right" vertical="center"/>
    </xf>
    <xf numFmtId="0" fontId="39" fillId="0" borderId="31" xfId="45" applyFont="1" applyBorder="1" applyAlignment="1">
      <alignment wrapText="1"/>
    </xf>
    <xf numFmtId="0" fontId="56" fillId="34" borderId="43" xfId="0" applyFont="1" applyFill="1" applyBorder="1" applyAlignment="1">
      <alignment horizontal="left" vertical="center" wrapText="1"/>
    </xf>
    <xf numFmtId="0" fontId="39" fillId="34" borderId="44" xfId="0" applyFont="1" applyFill="1" applyBorder="1" applyAlignment="1">
      <alignment horizontal="left" vertical="center" wrapText="1"/>
    </xf>
    <xf numFmtId="0" fontId="39" fillId="34" borderId="43" xfId="0" applyFont="1" applyFill="1" applyBorder="1" applyAlignment="1">
      <alignment horizontal="left" wrapText="1"/>
    </xf>
    <xf numFmtId="0" fontId="39" fillId="34" borderId="0" xfId="0" applyFont="1" applyFill="1" applyAlignment="1">
      <alignment horizontal="left" wrapText="1"/>
    </xf>
    <xf numFmtId="0" fontId="37" fillId="35" borderId="32" xfId="0" applyFont="1" applyFill="1" applyBorder="1" applyAlignment="1">
      <alignment horizontal="center" vertical="center" wrapText="1"/>
    </xf>
    <xf numFmtId="0" fontId="59" fillId="0" borderId="0" xfId="0" applyFont="1"/>
    <xf numFmtId="0" fontId="39" fillId="34" borderId="44" xfId="0" applyFont="1" applyFill="1" applyBorder="1" applyAlignment="1">
      <alignment horizontal="center" vertical="center" wrapText="1"/>
    </xf>
    <xf numFmtId="0" fontId="39" fillId="34" borderId="44" xfId="0" applyFont="1" applyFill="1" applyBorder="1" applyAlignment="1">
      <alignment horizontal="left" vertical="center"/>
    </xf>
    <xf numFmtId="4" fontId="39" fillId="34" borderId="44" xfId="0" applyNumberFormat="1" applyFont="1" applyFill="1" applyBorder="1" applyAlignment="1">
      <alignment horizontal="center" vertical="center" wrapText="1"/>
    </xf>
    <xf numFmtId="10" fontId="39" fillId="34" borderId="44" xfId="34" applyNumberFormat="1" applyFont="1" applyFill="1" applyBorder="1" applyAlignment="1">
      <alignment horizontal="center" vertical="center" wrapText="1"/>
    </xf>
    <xf numFmtId="10" fontId="58" fillId="44" borderId="44" xfId="34" applyNumberFormat="1" applyFont="1" applyFill="1" applyBorder="1" applyAlignment="1">
      <alignment horizontal="center" vertical="center" wrapText="1"/>
    </xf>
    <xf numFmtId="10" fontId="58" fillId="34" borderId="44" xfId="34" applyNumberFormat="1" applyFont="1" applyFill="1" applyBorder="1" applyAlignment="1">
      <alignment horizontal="center" vertical="center" wrapText="1"/>
    </xf>
    <xf numFmtId="4" fontId="39" fillId="34" borderId="44" xfId="34" applyNumberFormat="1" applyFont="1" applyFill="1" applyBorder="1" applyAlignment="1">
      <alignment horizontal="center" vertical="center" wrapText="1"/>
    </xf>
    <xf numFmtId="0" fontId="54" fillId="43" borderId="44" xfId="0" applyFont="1" applyFill="1" applyBorder="1" applyAlignment="1">
      <alignment horizontal="center" vertical="center" wrapText="1"/>
    </xf>
    <xf numFmtId="10" fontId="58" fillId="44" borderId="0" xfId="34" applyNumberFormat="1" applyFont="1" applyFill="1" applyAlignment="1">
      <alignment horizontal="center" vertical="center" wrapText="1"/>
    </xf>
    <xf numFmtId="0" fontId="57" fillId="43" borderId="0" xfId="0" applyFont="1" applyFill="1" applyAlignment="1">
      <alignment horizontal="center" vertical="center" wrapText="1"/>
    </xf>
    <xf numFmtId="0" fontId="57" fillId="45" borderId="0" xfId="0" applyFont="1" applyFill="1" applyAlignment="1">
      <alignment horizontal="center" vertical="center" wrapText="1"/>
    </xf>
    <xf numFmtId="0" fontId="54" fillId="41" borderId="0" xfId="0" applyFont="1" applyFill="1" applyAlignment="1">
      <alignment vertical="center"/>
    </xf>
    <xf numFmtId="0" fontId="55" fillId="42" borderId="0" xfId="0" applyFont="1" applyFill="1" applyAlignment="1">
      <alignment horizontal="center" vertical="center" wrapText="1"/>
    </xf>
    <xf numFmtId="0" fontId="37" fillId="35" borderId="41" xfId="51" applyFont="1" applyFill="1" applyBorder="1" applyAlignment="1">
      <alignment vertical="center"/>
    </xf>
    <xf numFmtId="0" fontId="42" fillId="46" borderId="31" xfId="0" applyFont="1" applyFill="1" applyBorder="1"/>
    <xf numFmtId="0" fontId="60" fillId="0" borderId="0" xfId="49" applyFont="1" applyAlignment="1">
      <alignment horizontal="center" vertical="center"/>
    </xf>
    <xf numFmtId="9" fontId="60" fillId="0" borderId="0" xfId="34" applyFont="1" applyAlignment="1">
      <alignment horizontal="center" vertical="center"/>
    </xf>
    <xf numFmtId="0" fontId="42" fillId="44" borderId="31" xfId="0" applyFont="1" applyFill="1" applyBorder="1"/>
    <xf numFmtId="0" fontId="54" fillId="0" borderId="0" xfId="49" applyFont="1" applyAlignment="1">
      <alignment vertical="center"/>
    </xf>
    <xf numFmtId="0" fontId="54" fillId="0" borderId="0" xfId="49" applyFont="1" applyAlignment="1">
      <alignment horizontal="center" vertical="center"/>
    </xf>
    <xf numFmtId="14" fontId="39" fillId="0" borderId="36" xfId="45" applyNumberFormat="1" applyFont="1" applyBorder="1" applyAlignment="1">
      <alignment horizontal="left" vertical="center"/>
    </xf>
    <xf numFmtId="0" fontId="57" fillId="0" borderId="31" xfId="45" applyFont="1" applyBorder="1" applyAlignment="1">
      <alignment horizontal="left" vertical="center"/>
    </xf>
    <xf numFmtId="14" fontId="39" fillId="0" borderId="0" xfId="51" applyNumberFormat="1" applyFont="1" applyAlignment="1">
      <alignment horizontal="left"/>
    </xf>
    <xf numFmtId="4" fontId="43" fillId="34" borderId="43" xfId="48" applyNumberFormat="1" applyFont="1" applyFill="1" applyBorder="1" applyAlignment="1">
      <alignment horizontal="center" vertical="center"/>
    </xf>
    <xf numFmtId="0" fontId="61" fillId="0" borderId="0" xfId="0" applyFont="1" applyAlignment="1">
      <alignment vertical="center"/>
    </xf>
    <xf numFmtId="0" fontId="61" fillId="0" borderId="0" xfId="49" applyFont="1" applyAlignment="1">
      <alignment vertical="center"/>
    </xf>
    <xf numFmtId="0" fontId="61" fillId="0" borderId="0" xfId="49" applyFont="1" applyAlignment="1">
      <alignment horizontal="center" vertical="center"/>
    </xf>
    <xf numFmtId="3" fontId="42" fillId="0" borderId="0" xfId="0" applyNumberFormat="1" applyFont="1"/>
    <xf numFmtId="0" fontId="62" fillId="37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42" fillId="34" borderId="49" xfId="49" applyFont="1" applyFill="1" applyBorder="1" applyAlignment="1">
      <alignment horizontal="left" vertical="center"/>
    </xf>
    <xf numFmtId="0" fontId="42" fillId="34" borderId="50" xfId="49" applyFont="1" applyFill="1" applyBorder="1" applyAlignment="1">
      <alignment horizontal="left" vertical="center"/>
    </xf>
    <xf numFmtId="0" fontId="0" fillId="0" borderId="51" xfId="0" applyBorder="1" applyAlignment="1">
      <alignment horizontal="center" vertical="center"/>
    </xf>
    <xf numFmtId="3" fontId="0" fillId="0" borderId="51" xfId="0" applyNumberFormat="1" applyBorder="1" applyAlignment="1">
      <alignment horizontal="center" vertical="center"/>
    </xf>
    <xf numFmtId="0" fontId="43" fillId="34" borderId="0" xfId="45" applyFont="1" applyFill="1" applyAlignment="1">
      <alignment horizontal="center" vertical="top"/>
    </xf>
    <xf numFmtId="4" fontId="43" fillId="34" borderId="0" xfId="48" applyNumberFormat="1" applyFont="1" applyFill="1" applyBorder="1" applyAlignment="1">
      <alignment vertical="center"/>
    </xf>
    <xf numFmtId="4" fontId="43" fillId="34" borderId="0" xfId="45" applyNumberFormat="1" applyFont="1" applyFill="1" applyAlignment="1">
      <alignment vertical="center" wrapText="1"/>
    </xf>
    <xf numFmtId="4" fontId="43" fillId="34" borderId="0" xfId="48" applyNumberFormat="1" applyFont="1" applyFill="1" applyBorder="1" applyAlignment="1">
      <alignment horizontal="right" vertical="center"/>
    </xf>
    <xf numFmtId="4" fontId="43" fillId="34" borderId="0" xfId="45" applyNumberFormat="1" applyFont="1" applyFill="1" applyAlignment="1">
      <alignment horizontal="right" vertical="center"/>
    </xf>
    <xf numFmtId="10" fontId="50" fillId="34" borderId="0" xfId="46" applyNumberFormat="1" applyFont="1" applyFill="1" applyBorder="1" applyAlignment="1">
      <alignment horizontal="right" vertical="center"/>
    </xf>
    <xf numFmtId="0" fontId="44" fillId="0" borderId="0" xfId="45" applyFont="1" applyAlignment="1">
      <alignment horizontal="left" vertical="top" wrapText="1"/>
    </xf>
    <xf numFmtId="1" fontId="64" fillId="0" borderId="0" xfId="0" applyNumberFormat="1" applyFont="1" applyAlignment="1">
      <alignment horizontal="center" vertical="top"/>
    </xf>
    <xf numFmtId="0" fontId="64" fillId="0" borderId="0" xfId="0" applyFont="1" applyAlignment="1">
      <alignment vertical="top"/>
    </xf>
    <xf numFmtId="0" fontId="63" fillId="0" borderId="0" xfId="0" applyFont="1" applyAlignment="1">
      <alignment horizontal="center" vertical="top"/>
    </xf>
    <xf numFmtId="0" fontId="63" fillId="0" borderId="0" xfId="45" applyFont="1" applyAlignment="1">
      <alignment horizontal="left" vertical="top"/>
    </xf>
    <xf numFmtId="0" fontId="64" fillId="0" borderId="0" xfId="45" applyFont="1" applyAlignment="1">
      <alignment vertical="top"/>
    </xf>
    <xf numFmtId="49" fontId="64" fillId="34" borderId="0" xfId="0" applyNumberFormat="1" applyFont="1" applyFill="1" applyAlignment="1">
      <alignment horizontal="center" vertical="top"/>
    </xf>
    <xf numFmtId="0" fontId="63" fillId="0" borderId="0" xfId="45" applyFont="1" applyAlignment="1">
      <alignment horizontal="right" vertical="top"/>
    </xf>
    <xf numFmtId="14" fontId="64" fillId="0" borderId="0" xfId="45" applyNumberFormat="1" applyFont="1" applyAlignment="1">
      <alignment horizontal="center" vertical="top"/>
    </xf>
    <xf numFmtId="0" fontId="64" fillId="0" borderId="0" xfId="45" applyFont="1" applyAlignment="1">
      <alignment horizontal="left" vertical="top"/>
    </xf>
    <xf numFmtId="0" fontId="64" fillId="0" borderId="0" xfId="0" applyFont="1" applyAlignment="1">
      <alignment vertical="top" wrapText="1"/>
    </xf>
    <xf numFmtId="0" fontId="65" fillId="49" borderId="0" xfId="0" applyFont="1" applyFill="1" applyAlignment="1">
      <alignment horizontal="center" vertical="top"/>
    </xf>
    <xf numFmtId="49" fontId="63" fillId="0" borderId="0" xfId="0" applyNumberFormat="1" applyFont="1" applyAlignment="1">
      <alignment horizontal="center" vertical="top"/>
    </xf>
    <xf numFmtId="0" fontId="66" fillId="40" borderId="0" xfId="0" applyFont="1" applyFill="1" applyAlignment="1">
      <alignment horizontal="center" vertical="top"/>
    </xf>
    <xf numFmtId="0" fontId="66" fillId="40" borderId="0" xfId="0" applyFont="1" applyFill="1" applyAlignment="1">
      <alignment vertical="top"/>
    </xf>
    <xf numFmtId="0" fontId="65" fillId="40" borderId="0" xfId="0" applyFont="1" applyFill="1" applyAlignment="1">
      <alignment vertical="top"/>
    </xf>
    <xf numFmtId="0" fontId="64" fillId="0" borderId="0" xfId="0" applyFont="1" applyAlignment="1">
      <alignment horizontal="justify" vertical="top"/>
    </xf>
    <xf numFmtId="4" fontId="64" fillId="0" borderId="0" xfId="36" applyNumberFormat="1" applyFont="1" applyAlignment="1">
      <alignment horizontal="center" vertical="top"/>
    </xf>
    <xf numFmtId="49" fontId="64" fillId="0" borderId="0" xfId="36" applyNumberFormat="1" applyFont="1" applyAlignment="1">
      <alignment horizontal="center" vertical="top"/>
    </xf>
    <xf numFmtId="0" fontId="63" fillId="35" borderId="32" xfId="45" applyFont="1" applyFill="1" applyBorder="1" applyAlignment="1">
      <alignment horizontal="center" vertical="top"/>
    </xf>
    <xf numFmtId="0" fontId="63" fillId="35" borderId="32" xfId="45" applyFont="1" applyFill="1" applyBorder="1" applyAlignment="1">
      <alignment horizontal="left" vertical="top"/>
    </xf>
    <xf numFmtId="0" fontId="63" fillId="35" borderId="32" xfId="45" applyFont="1" applyFill="1" applyBorder="1" applyAlignment="1">
      <alignment horizontal="right" vertical="top"/>
    </xf>
    <xf numFmtId="4" fontId="63" fillId="35" borderId="32" xfId="45" applyNumberFormat="1" applyFont="1" applyFill="1" applyBorder="1" applyAlignment="1">
      <alignment horizontal="center" vertical="top"/>
    </xf>
    <xf numFmtId="1" fontId="64" fillId="34" borderId="43" xfId="0" applyNumberFormat="1" applyFont="1" applyFill="1" applyBorder="1" applyAlignment="1">
      <alignment horizontal="center" vertical="top"/>
    </xf>
    <xf numFmtId="0" fontId="67" fillId="34" borderId="43" xfId="0" applyFont="1" applyFill="1" applyBorder="1" applyAlignment="1">
      <alignment vertical="top"/>
    </xf>
    <xf numFmtId="4" fontId="64" fillId="34" borderId="43" xfId="36" applyNumberFormat="1" applyFont="1" applyFill="1" applyBorder="1" applyAlignment="1">
      <alignment horizontal="center" vertical="top"/>
    </xf>
    <xf numFmtId="164" fontId="67" fillId="34" borderId="43" xfId="36" applyFont="1" applyFill="1" applyBorder="1" applyAlignment="1">
      <alignment horizontal="center" vertical="top"/>
    </xf>
    <xf numFmtId="49" fontId="64" fillId="34" borderId="43" xfId="36" applyNumberFormat="1" applyFont="1" applyFill="1" applyBorder="1" applyAlignment="1">
      <alignment horizontal="center" vertical="top"/>
    </xf>
    <xf numFmtId="4" fontId="64" fillId="34" borderId="43" xfId="36" applyNumberFormat="1" applyFont="1" applyFill="1" applyBorder="1" applyAlignment="1">
      <alignment horizontal="right" vertical="top"/>
    </xf>
    <xf numFmtId="0" fontId="64" fillId="34" borderId="42" xfId="0" applyFont="1" applyFill="1" applyBorder="1" applyAlignment="1">
      <alignment vertical="top"/>
    </xf>
    <xf numFmtId="164" fontId="64" fillId="34" borderId="42" xfId="36" applyFont="1" applyFill="1" applyBorder="1" applyAlignment="1">
      <alignment horizontal="center" vertical="top"/>
    </xf>
    <xf numFmtId="49" fontId="64" fillId="34" borderId="42" xfId="36" applyNumberFormat="1" applyFont="1" applyFill="1" applyBorder="1" applyAlignment="1">
      <alignment horizontal="center" vertical="top"/>
    </xf>
    <xf numFmtId="4" fontId="64" fillId="34" borderId="42" xfId="36" applyNumberFormat="1" applyFont="1" applyFill="1" applyBorder="1" applyAlignment="1">
      <alignment horizontal="center" vertical="top"/>
    </xf>
    <xf numFmtId="4" fontId="64" fillId="34" borderId="42" xfId="36" applyNumberFormat="1" applyFont="1" applyFill="1" applyBorder="1" applyAlignment="1">
      <alignment horizontal="right" vertical="top"/>
    </xf>
    <xf numFmtId="165" fontId="64" fillId="0" borderId="0" xfId="36" applyNumberFormat="1" applyFont="1" applyAlignment="1">
      <alignment horizontal="center" vertical="top"/>
    </xf>
    <xf numFmtId="164" fontId="64" fillId="34" borderId="0" xfId="36" applyFont="1" applyFill="1" applyAlignment="1">
      <alignment vertical="top"/>
    </xf>
    <xf numFmtId="0" fontId="63" fillId="35" borderId="0" xfId="45" applyFont="1" applyFill="1" applyAlignment="1">
      <alignment horizontal="center" vertical="top"/>
    </xf>
    <xf numFmtId="0" fontId="63" fillId="35" borderId="0" xfId="45" applyFont="1" applyFill="1" applyAlignment="1">
      <alignment horizontal="left" vertical="top"/>
    </xf>
    <xf numFmtId="0" fontId="63" fillId="35" borderId="0" xfId="45" applyFont="1" applyFill="1" applyAlignment="1">
      <alignment horizontal="right" vertical="top"/>
    </xf>
    <xf numFmtId="4" fontId="63" fillId="35" borderId="0" xfId="45" applyNumberFormat="1" applyFont="1" applyFill="1" applyAlignment="1">
      <alignment horizontal="right" vertical="top"/>
    </xf>
    <xf numFmtId="0" fontId="67" fillId="34" borderId="42" xfId="0" applyFont="1" applyFill="1" applyBorder="1" applyAlignment="1">
      <alignment vertical="top"/>
    </xf>
    <xf numFmtId="0" fontId="68" fillId="34" borderId="42" xfId="0" applyFont="1" applyFill="1" applyBorder="1" applyAlignment="1">
      <alignment vertical="top"/>
    </xf>
    <xf numFmtId="1" fontId="64" fillId="34" borderId="43" xfId="36" quotePrefix="1" applyNumberFormat="1" applyFont="1" applyFill="1" applyBorder="1" applyAlignment="1">
      <alignment horizontal="center" vertical="top"/>
    </xf>
    <xf numFmtId="49" fontId="64" fillId="34" borderId="43" xfId="36" applyNumberFormat="1" applyFont="1" applyFill="1" applyBorder="1" applyAlignment="1">
      <alignment horizontal="right" vertical="top"/>
    </xf>
    <xf numFmtId="1" fontId="64" fillId="34" borderId="42" xfId="0" applyNumberFormat="1" applyFont="1" applyFill="1" applyBorder="1" applyAlignment="1">
      <alignment horizontal="center" vertical="top"/>
    </xf>
    <xf numFmtId="1" fontId="64" fillId="34" borderId="42" xfId="36" quotePrefix="1" applyNumberFormat="1" applyFont="1" applyFill="1" applyBorder="1" applyAlignment="1">
      <alignment horizontal="center" vertical="top"/>
    </xf>
    <xf numFmtId="49" fontId="64" fillId="34" borderId="42" xfId="36" applyNumberFormat="1" applyFont="1" applyFill="1" applyBorder="1" applyAlignment="1">
      <alignment horizontal="right" vertical="top"/>
    </xf>
    <xf numFmtId="1" fontId="64" fillId="0" borderId="0" xfId="36" applyNumberFormat="1" applyFont="1" applyAlignment="1">
      <alignment horizontal="center" vertical="top"/>
    </xf>
    <xf numFmtId="49" fontId="64" fillId="0" borderId="0" xfId="36" applyNumberFormat="1" applyFont="1" applyAlignment="1">
      <alignment horizontal="right" vertical="top"/>
    </xf>
    <xf numFmtId="0" fontId="64" fillId="34" borderId="43" xfId="0" applyFont="1" applyFill="1" applyBorder="1" applyAlignment="1">
      <alignment vertical="top"/>
    </xf>
    <xf numFmtId="1" fontId="64" fillId="34" borderId="43" xfId="36" applyNumberFormat="1" applyFont="1" applyFill="1" applyBorder="1" applyAlignment="1">
      <alignment horizontal="center" vertical="top" wrapText="1"/>
    </xf>
    <xf numFmtId="1" fontId="64" fillId="34" borderId="43" xfId="36" applyNumberFormat="1" applyFont="1" applyFill="1" applyBorder="1" applyAlignment="1">
      <alignment horizontal="center" vertical="top"/>
    </xf>
    <xf numFmtId="1" fontId="64" fillId="34" borderId="42" xfId="36" applyNumberFormat="1" applyFont="1" applyFill="1" applyBorder="1" applyAlignment="1">
      <alignment horizontal="center" vertical="top"/>
    </xf>
    <xf numFmtId="164" fontId="64" fillId="0" borderId="0" xfId="36" applyFont="1" applyAlignment="1">
      <alignment vertical="top"/>
    </xf>
    <xf numFmtId="1" fontId="63" fillId="35" borderId="0" xfId="0" applyNumberFormat="1" applyFont="1" applyFill="1" applyAlignment="1">
      <alignment horizontal="center" vertical="top"/>
    </xf>
    <xf numFmtId="0" fontId="63" fillId="35" borderId="0" xfId="0" applyFont="1" applyFill="1" applyAlignment="1">
      <alignment vertical="top"/>
    </xf>
    <xf numFmtId="0" fontId="63" fillId="35" borderId="0" xfId="0" applyFont="1" applyFill="1" applyAlignment="1">
      <alignment horizontal="right" vertical="top"/>
    </xf>
    <xf numFmtId="0" fontId="63" fillId="0" borderId="0" xfId="0" applyFont="1" applyAlignment="1">
      <alignment vertical="top"/>
    </xf>
    <xf numFmtId="0" fontId="64" fillId="0" borderId="0" xfId="0" applyFont="1" applyAlignment="1">
      <alignment horizontal="center" vertical="top"/>
    </xf>
    <xf numFmtId="49" fontId="64" fillId="0" borderId="0" xfId="0" applyNumberFormat="1" applyFont="1" applyAlignment="1">
      <alignment horizontal="center" vertical="top"/>
    </xf>
    <xf numFmtId="0" fontId="64" fillId="34" borderId="0" xfId="0" applyFont="1" applyFill="1" applyAlignment="1">
      <alignment vertical="top"/>
    </xf>
    <xf numFmtId="0" fontId="35" fillId="49" borderId="37" xfId="45" applyFont="1" applyFill="1" applyBorder="1" applyAlignment="1">
      <alignment horizontal="center" vertical="center"/>
    </xf>
    <xf numFmtId="0" fontId="35" fillId="49" borderId="37" xfId="45" applyFont="1" applyFill="1" applyBorder="1" applyAlignment="1">
      <alignment horizontal="center" vertical="center" wrapText="1"/>
    </xf>
    <xf numFmtId="4" fontId="35" fillId="49" borderId="37" xfId="45" applyNumberFormat="1" applyFont="1" applyFill="1" applyBorder="1" applyAlignment="1">
      <alignment horizontal="center" vertical="center"/>
    </xf>
    <xf numFmtId="4" fontId="35" fillId="49" borderId="37" xfId="45" applyNumberFormat="1" applyFont="1" applyFill="1" applyBorder="1" applyAlignment="1">
      <alignment horizontal="center" vertical="center" wrapText="1"/>
    </xf>
    <xf numFmtId="0" fontId="69" fillId="40" borderId="35" xfId="45" applyFont="1" applyFill="1" applyBorder="1" applyAlignment="1">
      <alignment horizontal="center" vertical="center"/>
    </xf>
    <xf numFmtId="0" fontId="69" fillId="40" borderId="35" xfId="45" applyFont="1" applyFill="1" applyBorder="1" applyAlignment="1">
      <alignment vertical="center"/>
    </xf>
    <xf numFmtId="0" fontId="69" fillId="40" borderId="35" xfId="45" applyFont="1" applyFill="1" applyBorder="1" applyAlignment="1">
      <alignment horizontal="right" vertical="center"/>
    </xf>
    <xf numFmtId="4" fontId="69" fillId="40" borderId="35" xfId="45" applyNumberFormat="1" applyFont="1" applyFill="1" applyBorder="1" applyAlignment="1">
      <alignment vertical="center"/>
    </xf>
    <xf numFmtId="10" fontId="69" fillId="40" borderId="35" xfId="46" applyNumberFormat="1" applyFont="1" applyFill="1" applyBorder="1" applyAlignment="1">
      <alignment horizontal="right" vertical="center"/>
    </xf>
    <xf numFmtId="0" fontId="69" fillId="35" borderId="0" xfId="45" applyFont="1" applyFill="1" applyAlignment="1">
      <alignment horizontal="center" vertical="center"/>
    </xf>
    <xf numFmtId="0" fontId="69" fillId="35" borderId="0" xfId="45" applyFont="1" applyFill="1" applyAlignment="1">
      <alignment horizontal="left" vertical="center"/>
    </xf>
    <xf numFmtId="0" fontId="69" fillId="35" borderId="0" xfId="45" applyFont="1" applyFill="1" applyAlignment="1">
      <alignment horizontal="right" vertical="center"/>
    </xf>
    <xf numFmtId="4" fontId="69" fillId="35" borderId="0" xfId="45" applyNumberFormat="1" applyFont="1" applyFill="1" applyAlignment="1">
      <alignment horizontal="right" vertical="center"/>
    </xf>
    <xf numFmtId="0" fontId="69" fillId="40" borderId="37" xfId="45" applyFont="1" applyFill="1" applyBorder="1" applyAlignment="1">
      <alignment horizontal="center" vertical="center"/>
    </xf>
    <xf numFmtId="0" fontId="69" fillId="40" borderId="37" xfId="45" applyFont="1" applyFill="1" applyBorder="1" applyAlignment="1">
      <alignment vertical="center"/>
    </xf>
    <xf numFmtId="1" fontId="43" fillId="34" borderId="0" xfId="45" applyNumberFormat="1" applyFont="1" applyFill="1" applyAlignment="1">
      <alignment horizontal="center" vertical="center" wrapText="1"/>
    </xf>
    <xf numFmtId="4" fontId="52" fillId="49" borderId="0" xfId="45" applyNumberFormat="1" applyFont="1" applyFill="1" applyAlignment="1">
      <alignment horizontal="right" vertical="center"/>
    </xf>
    <xf numFmtId="0" fontId="39" fillId="49" borderId="0" xfId="45" applyFont="1" applyFill="1" applyAlignment="1">
      <alignment horizontal="center"/>
    </xf>
    <xf numFmtId="4" fontId="52" fillId="49" borderId="0" xfId="45" applyNumberFormat="1" applyFont="1" applyFill="1" applyAlignment="1">
      <alignment vertical="center"/>
    </xf>
    <xf numFmtId="4" fontId="69" fillId="40" borderId="37" xfId="45" applyNumberFormat="1" applyFont="1" applyFill="1" applyBorder="1" applyAlignment="1">
      <alignment horizontal="right" vertical="center"/>
    </xf>
    <xf numFmtId="4" fontId="45" fillId="35" borderId="32" xfId="45" applyNumberFormat="1" applyFont="1" applyFill="1" applyBorder="1" applyAlignment="1">
      <alignment horizontal="right" vertical="center"/>
    </xf>
    <xf numFmtId="10" fontId="52" fillId="49" borderId="0" xfId="34" applyNumberFormat="1" applyFont="1" applyFill="1" applyAlignment="1">
      <alignment horizontal="right" vertical="center"/>
    </xf>
    <xf numFmtId="10" fontId="45" fillId="35" borderId="0" xfId="34" applyNumberFormat="1" applyFont="1" applyFill="1" applyAlignment="1">
      <alignment horizontal="right" vertical="center"/>
    </xf>
    <xf numFmtId="10" fontId="45" fillId="35" borderId="0" xfId="34" applyNumberFormat="1" applyFont="1" applyFill="1" applyAlignment="1">
      <alignment vertical="center"/>
    </xf>
    <xf numFmtId="10" fontId="45" fillId="35" borderId="32" xfId="34" applyNumberFormat="1" applyFont="1" applyFill="1" applyBorder="1" applyAlignment="1">
      <alignment horizontal="right" vertical="center"/>
    </xf>
    <xf numFmtId="10" fontId="69" fillId="35" borderId="0" xfId="34" applyNumberFormat="1" applyFont="1" applyFill="1" applyAlignment="1">
      <alignment horizontal="right" vertical="center"/>
    </xf>
    <xf numFmtId="0" fontId="35" fillId="49" borderId="37" xfId="0" applyFont="1" applyFill="1" applyBorder="1" applyAlignment="1">
      <alignment horizontal="center" vertical="center"/>
    </xf>
    <xf numFmtId="0" fontId="35" fillId="49" borderId="32" xfId="0" applyFont="1" applyFill="1" applyBorder="1" applyAlignment="1">
      <alignment horizontal="center" vertical="center" wrapText="1"/>
    </xf>
    <xf numFmtId="0" fontId="35" fillId="49" borderId="37" xfId="0" applyFont="1" applyFill="1" applyBorder="1" applyAlignment="1">
      <alignment horizontal="center" vertical="center" wrapText="1"/>
    </xf>
    <xf numFmtId="4" fontId="55" fillId="49" borderId="0" xfId="0" applyNumberFormat="1" applyFont="1" applyFill="1" applyAlignment="1">
      <alignment horizontal="center" vertical="center" wrapText="1"/>
    </xf>
    <xf numFmtId="10" fontId="55" fillId="49" borderId="0" xfId="34" applyNumberFormat="1" applyFont="1" applyFill="1" applyAlignment="1">
      <alignment horizontal="center" vertical="center" wrapText="1"/>
    </xf>
    <xf numFmtId="0" fontId="57" fillId="40" borderId="31" xfId="0" applyFont="1" applyFill="1" applyBorder="1" applyAlignment="1">
      <alignment horizontal="center" vertical="center" wrapText="1"/>
    </xf>
    <xf numFmtId="4" fontId="56" fillId="34" borderId="43" xfId="0" applyNumberFormat="1" applyFont="1" applyFill="1" applyBorder="1" applyAlignment="1">
      <alignment horizontal="right" vertical="center" wrapText="1"/>
    </xf>
    <xf numFmtId="0" fontId="0" fillId="0" borderId="55" xfId="0" applyBorder="1" applyAlignment="1">
      <alignment horizontal="center" vertical="center"/>
    </xf>
    <xf numFmtId="1" fontId="43" fillId="34" borderId="43" xfId="45" applyNumberFormat="1" applyFont="1" applyFill="1" applyBorder="1" applyAlignment="1">
      <alignment horizontal="left" vertical="center" wrapText="1"/>
    </xf>
    <xf numFmtId="49" fontId="43" fillId="34" borderId="43" xfId="45" applyNumberFormat="1" applyFont="1" applyFill="1" applyBorder="1" applyAlignment="1">
      <alignment horizontal="center" vertical="center"/>
    </xf>
    <xf numFmtId="4" fontId="53" fillId="0" borderId="42" xfId="0" applyNumberFormat="1" applyFont="1" applyBorder="1" applyAlignment="1">
      <alignment horizontal="center" vertical="center"/>
    </xf>
    <xf numFmtId="0" fontId="53" fillId="0" borderId="42" xfId="0" applyFont="1" applyBorder="1" applyAlignment="1">
      <alignment vertical="center" wrapText="1"/>
    </xf>
    <xf numFmtId="0" fontId="42" fillId="0" borderId="42" xfId="51" applyFont="1" applyBorder="1" applyAlignment="1">
      <alignment horizontal="center" vertical="center"/>
    </xf>
    <xf numFmtId="169" fontId="39" fillId="34" borderId="43" xfId="0" applyNumberFormat="1" applyFont="1" applyFill="1" applyBorder="1" applyAlignment="1">
      <alignment horizontal="center" vertical="center" wrapText="1"/>
    </xf>
    <xf numFmtId="169" fontId="39" fillId="34" borderId="0" xfId="0" applyNumberFormat="1" applyFont="1" applyFill="1" applyAlignment="1">
      <alignment horizontal="center" vertical="center" wrapText="1"/>
    </xf>
    <xf numFmtId="2" fontId="43" fillId="34" borderId="43" xfId="45" applyNumberFormat="1" applyFont="1" applyFill="1" applyBorder="1" applyAlignment="1">
      <alignment horizontal="center" vertical="center" wrapText="1"/>
    </xf>
    <xf numFmtId="0" fontId="70" fillId="0" borderId="0" xfId="45" applyFont="1" applyAlignment="1">
      <alignment horizontal="left" vertical="top"/>
    </xf>
    <xf numFmtId="14" fontId="39" fillId="0" borderId="0" xfId="51" applyNumberFormat="1" applyFont="1" applyAlignment="1">
      <alignment vertical="center"/>
    </xf>
    <xf numFmtId="0" fontId="57" fillId="40" borderId="52" xfId="0" applyFont="1" applyFill="1" applyBorder="1" applyAlignment="1">
      <alignment horizontal="center" vertical="center" wrapText="1"/>
    </xf>
    <xf numFmtId="0" fontId="39" fillId="0" borderId="0" xfId="49" applyFont="1" applyAlignment="1">
      <alignment horizontal="center" vertical="center" wrapText="1"/>
    </xf>
    <xf numFmtId="0" fontId="57" fillId="50" borderId="0" xfId="0" applyFont="1" applyFill="1" applyAlignment="1">
      <alignment horizontal="center" vertical="center" wrapText="1"/>
    </xf>
    <xf numFmtId="1" fontId="0" fillId="0" borderId="56" xfId="0" applyNumberFormat="1" applyBorder="1" applyAlignment="1">
      <alignment horizontal="center" vertical="center"/>
    </xf>
    <xf numFmtId="0" fontId="21" fillId="49" borderId="47" xfId="0" applyFont="1" applyFill="1" applyBorder="1" applyAlignment="1">
      <alignment horizontal="center" vertical="center"/>
    </xf>
    <xf numFmtId="0" fontId="39" fillId="0" borderId="0" xfId="0" applyFont="1" applyAlignment="1">
      <alignment vertical="top"/>
    </xf>
    <xf numFmtId="0" fontId="39" fillId="0" borderId="0" xfId="0" applyFont="1" applyAlignment="1">
      <alignment horizontal="justify" vertical="top"/>
    </xf>
    <xf numFmtId="0" fontId="38" fillId="0" borderId="57" xfId="45" applyFont="1" applyBorder="1" applyAlignment="1">
      <alignment horizontal="left" vertical="center"/>
    </xf>
    <xf numFmtId="0" fontId="39" fillId="0" borderId="57" xfId="45" applyFont="1" applyBorder="1" applyAlignment="1">
      <alignment horizontal="left" vertical="center"/>
    </xf>
    <xf numFmtId="0" fontId="39" fillId="0" borderId="57" xfId="45" applyFont="1" applyBorder="1"/>
    <xf numFmtId="0" fontId="4" fillId="0" borderId="0" xfId="0" applyFont="1" applyAlignment="1">
      <alignment vertical="center"/>
    </xf>
    <xf numFmtId="0" fontId="21" fillId="49" borderId="60" xfId="0" applyFont="1" applyFill="1" applyBorder="1" applyAlignment="1">
      <alignment horizontal="center" vertical="center" wrapText="1"/>
    </xf>
    <xf numFmtId="0" fontId="21" fillId="49" borderId="10" xfId="0" applyFont="1" applyFill="1" applyBorder="1" applyAlignment="1">
      <alignment horizontal="center" vertical="center"/>
    </xf>
    <xf numFmtId="0" fontId="21" fillId="49" borderId="63" xfId="0" applyFont="1" applyFill="1" applyBorder="1" applyAlignment="1">
      <alignment horizontal="center" vertical="center"/>
    </xf>
    <xf numFmtId="0" fontId="36" fillId="49" borderId="37" xfId="51" applyFont="1" applyFill="1" applyBorder="1" applyAlignment="1">
      <alignment horizontal="center" vertical="center" wrapText="1"/>
    </xf>
    <xf numFmtId="0" fontId="36" fillId="51" borderId="32" xfId="51" applyFont="1" applyFill="1" applyBorder="1" applyAlignment="1">
      <alignment horizontal="center" vertical="center" wrapText="1"/>
    </xf>
    <xf numFmtId="0" fontId="35" fillId="49" borderId="53" xfId="0" applyFont="1" applyFill="1" applyBorder="1" applyAlignment="1">
      <alignment horizontal="center" vertical="center"/>
    </xf>
    <xf numFmtId="0" fontId="35" fillId="49" borderId="65" xfId="0" applyFont="1" applyFill="1" applyBorder="1" applyAlignment="1">
      <alignment horizontal="center" vertical="center" wrapText="1"/>
    </xf>
    <xf numFmtId="0" fontId="35" fillId="49" borderId="66" xfId="0" applyFont="1" applyFill="1" applyBorder="1" applyAlignment="1">
      <alignment horizontal="center" vertical="center"/>
    </xf>
    <xf numFmtId="0" fontId="35" fillId="49" borderId="67" xfId="0" applyFont="1" applyFill="1" applyBorder="1" applyAlignment="1">
      <alignment horizontal="center" vertical="center" wrapText="1"/>
    </xf>
    <xf numFmtId="1" fontId="43" fillId="34" borderId="43" xfId="45" applyNumberFormat="1" applyFont="1" applyFill="1" applyBorder="1" applyAlignment="1">
      <alignment horizontal="justify" vertical="center" wrapText="1"/>
    </xf>
    <xf numFmtId="1" fontId="43" fillId="34" borderId="43" xfId="45" applyNumberFormat="1" applyFont="1" applyFill="1" applyBorder="1" applyAlignment="1">
      <alignment horizontal="left" vertical="center"/>
    </xf>
    <xf numFmtId="1" fontId="43" fillId="34" borderId="43" xfId="45" applyNumberFormat="1" applyFont="1" applyFill="1" applyBorder="1" applyAlignment="1">
      <alignment horizontal="justify" vertical="center"/>
    </xf>
    <xf numFmtId="0" fontId="55" fillId="49" borderId="0" xfId="49" applyFont="1" applyFill="1" applyAlignment="1">
      <alignment horizontal="center" vertical="center"/>
    </xf>
    <xf numFmtId="0" fontId="55" fillId="49" borderId="0" xfId="49" applyFont="1" applyFill="1" applyAlignment="1">
      <alignment horizontal="center" vertical="center" wrapText="1"/>
    </xf>
    <xf numFmtId="0" fontId="55" fillId="49" borderId="0" xfId="49" applyFont="1" applyFill="1" applyAlignment="1">
      <alignment horizontal="right" vertical="center"/>
    </xf>
    <xf numFmtId="10" fontId="55" fillId="49" borderId="0" xfId="49" applyNumberFormat="1" applyFont="1" applyFill="1" applyAlignment="1">
      <alignment horizontal="center" vertical="center"/>
    </xf>
    <xf numFmtId="4" fontId="55" fillId="49" borderId="0" xfId="49" applyNumberFormat="1" applyFont="1" applyFill="1" applyAlignment="1">
      <alignment horizontal="right" vertical="center"/>
    </xf>
    <xf numFmtId="1" fontId="39" fillId="0" borderId="0" xfId="45" applyNumberFormat="1" applyFont="1" applyAlignment="1">
      <alignment vertical="top"/>
    </xf>
    <xf numFmtId="164" fontId="39" fillId="0" borderId="0" xfId="36" applyFont="1" applyAlignment="1">
      <alignment vertical="top"/>
    </xf>
    <xf numFmtId="43" fontId="39" fillId="0" borderId="0" xfId="45" applyNumberFormat="1" applyFont="1" applyAlignment="1">
      <alignment vertical="top"/>
    </xf>
    <xf numFmtId="0" fontId="53" fillId="34" borderId="42" xfId="0" applyFont="1" applyFill="1" applyBorder="1" applyAlignment="1">
      <alignment vertical="center"/>
    </xf>
    <xf numFmtId="1" fontId="53" fillId="34" borderId="42" xfId="0" applyNumberFormat="1" applyFont="1" applyFill="1" applyBorder="1" applyAlignment="1">
      <alignment horizontal="center" vertical="center"/>
    </xf>
    <xf numFmtId="0" fontId="42" fillId="34" borderId="43" xfId="51" applyFont="1" applyFill="1" applyBorder="1" applyAlignment="1">
      <alignment horizontal="center" vertical="center"/>
    </xf>
    <xf numFmtId="3" fontId="42" fillId="34" borderId="42" xfId="51" applyNumberFormat="1" applyFont="1" applyFill="1" applyBorder="1" applyAlignment="1">
      <alignment horizontal="center" vertical="center"/>
    </xf>
    <xf numFmtId="10" fontId="42" fillId="0" borderId="42" xfId="46" applyNumberFormat="1" applyFont="1" applyFill="1" applyBorder="1" applyAlignment="1">
      <alignment horizontal="left" vertical="center"/>
    </xf>
    <xf numFmtId="0" fontId="38" fillId="0" borderId="31" xfId="45" applyFont="1" applyBorder="1" applyAlignment="1">
      <alignment horizontal="center" vertical="center"/>
    </xf>
    <xf numFmtId="0" fontId="65" fillId="49" borderId="37" xfId="0" applyFont="1" applyFill="1" applyBorder="1" applyAlignment="1">
      <alignment horizontal="center" vertical="top"/>
    </xf>
    <xf numFmtId="2" fontId="39" fillId="0" borderId="0" xfId="45" applyNumberFormat="1" applyFont="1" applyAlignment="1">
      <alignment vertical="center"/>
    </xf>
    <xf numFmtId="2" fontId="43" fillId="0" borderId="0" xfId="45" applyNumberFormat="1" applyFont="1" applyAlignment="1">
      <alignment horizontal="center" vertical="center"/>
    </xf>
    <xf numFmtId="2" fontId="35" fillId="49" borderId="37" xfId="45" applyNumberFormat="1" applyFont="1" applyFill="1" applyBorder="1" applyAlignment="1">
      <alignment horizontal="center" vertical="center"/>
    </xf>
    <xf numFmtId="2" fontId="69" fillId="40" borderId="35" xfId="45" applyNumberFormat="1" applyFont="1" applyFill="1" applyBorder="1" applyAlignment="1">
      <alignment vertical="center"/>
    </xf>
    <xf numFmtId="2" fontId="45" fillId="35" borderId="32" xfId="45" applyNumberFormat="1" applyFont="1" applyFill="1" applyBorder="1" applyAlignment="1">
      <alignment horizontal="left" vertical="center"/>
    </xf>
    <xf numFmtId="2" fontId="43" fillId="0" borderId="0" xfId="45" applyNumberFormat="1" applyFont="1" applyAlignment="1">
      <alignment vertical="center"/>
    </xf>
    <xf numFmtId="2" fontId="52" fillId="49" borderId="0" xfId="45" applyNumberFormat="1" applyFont="1" applyFill="1" applyAlignment="1">
      <alignment vertical="center"/>
    </xf>
    <xf numFmtId="2" fontId="38" fillId="0" borderId="0" xfId="45" applyNumberFormat="1" applyFont="1" applyAlignment="1">
      <alignment horizontal="center" vertical="center"/>
    </xf>
    <xf numFmtId="2" fontId="44" fillId="0" borderId="0" xfId="45" applyNumberFormat="1" applyFont="1"/>
    <xf numFmtId="2" fontId="44" fillId="0" borderId="0" xfId="45" applyNumberFormat="1" applyFont="1" applyAlignment="1">
      <alignment horizontal="left" vertical="top" wrapText="1"/>
    </xf>
    <xf numFmtId="2" fontId="39" fillId="0" borderId="0" xfId="45" applyNumberFormat="1" applyFont="1"/>
    <xf numFmtId="0" fontId="39" fillId="39" borderId="32" xfId="5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/>
    <xf numFmtId="4" fontId="4" fillId="0" borderId="0" xfId="0" applyNumberFormat="1" applyFont="1"/>
    <xf numFmtId="2" fontId="4" fillId="0" borderId="0" xfId="0" applyNumberFormat="1" applyFont="1"/>
    <xf numFmtId="0" fontId="4" fillId="0" borderId="2" xfId="0" applyFont="1" applyBorder="1" applyAlignment="1">
      <alignment horizontal="justify" vertical="center"/>
    </xf>
    <xf numFmtId="1" fontId="4" fillId="0" borderId="2" xfId="0" applyNumberFormat="1" applyFont="1" applyBorder="1" applyAlignment="1">
      <alignment horizontal="center"/>
    </xf>
    <xf numFmtId="164" fontId="4" fillId="0" borderId="2" xfId="36" applyFont="1" applyBorder="1" applyAlignment="1">
      <alignment horizontal="center"/>
    </xf>
    <xf numFmtId="165" fontId="4" fillId="0" borderId="2" xfId="36" applyNumberFormat="1" applyFont="1" applyBorder="1"/>
    <xf numFmtId="164" fontId="4" fillId="0" borderId="2" xfId="36" applyFont="1" applyBorder="1"/>
    <xf numFmtId="164" fontId="4" fillId="0" borderId="3" xfId="36" applyFont="1" applyBorder="1"/>
    <xf numFmtId="4" fontId="4" fillId="0" borderId="8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4" fontId="4" fillId="0" borderId="5" xfId="0" applyNumberFormat="1" applyFont="1" applyBorder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0" fontId="77" fillId="0" borderId="0" xfId="0" applyFont="1" applyAlignment="1">
      <alignment vertical="top"/>
    </xf>
    <xf numFmtId="44" fontId="77" fillId="0" borderId="0" xfId="79" applyFont="1" applyAlignment="1">
      <alignment horizontal="center" vertical="top"/>
    </xf>
    <xf numFmtId="44" fontId="77" fillId="0" borderId="0" xfId="79" applyFont="1" applyAlignment="1">
      <alignment vertical="top"/>
    </xf>
    <xf numFmtId="2" fontId="77" fillId="0" borderId="0" xfId="0" applyNumberFormat="1" applyFont="1" applyAlignment="1">
      <alignment horizontal="center" vertical="top"/>
    </xf>
    <xf numFmtId="0" fontId="77" fillId="0" borderId="0" xfId="0" applyFont="1" applyAlignment="1">
      <alignment horizontal="center" vertical="top"/>
    </xf>
    <xf numFmtId="49" fontId="64" fillId="0" borderId="43" xfId="36" applyNumberFormat="1" applyFont="1" applyFill="1" applyBorder="1" applyAlignment="1">
      <alignment horizontal="center" vertical="top"/>
    </xf>
    <xf numFmtId="2" fontId="64" fillId="0" borderId="0" xfId="0" applyNumberFormat="1" applyFont="1" applyAlignment="1">
      <alignment horizontal="center" vertical="top"/>
    </xf>
    <xf numFmtId="0" fontId="42" fillId="35" borderId="52" xfId="0" applyFont="1" applyFill="1" applyBorder="1" applyAlignment="1">
      <alignment horizontal="center" vertical="center" textRotation="90" wrapText="1"/>
    </xf>
    <xf numFmtId="0" fontId="54" fillId="0" borderId="0" xfId="45" applyFont="1" applyAlignment="1">
      <alignment horizontal="left" vertical="center"/>
    </xf>
    <xf numFmtId="0" fontId="54" fillId="0" borderId="0" xfId="45" applyFont="1"/>
    <xf numFmtId="1" fontId="43" fillId="0" borderId="0" xfId="45" applyNumberFormat="1" applyFont="1" applyAlignment="1">
      <alignment horizontal="center" vertical="center"/>
    </xf>
    <xf numFmtId="1" fontId="69" fillId="40" borderId="35" xfId="45" applyNumberFormat="1" applyFont="1" applyFill="1" applyBorder="1" applyAlignment="1">
      <alignment vertical="center"/>
    </xf>
    <xf numFmtId="1" fontId="43" fillId="34" borderId="0" xfId="48" applyNumberFormat="1" applyFont="1" applyFill="1" applyAlignment="1">
      <alignment horizontal="center" vertical="center"/>
    </xf>
    <xf numFmtId="1" fontId="69" fillId="35" borderId="0" xfId="45" applyNumberFormat="1" applyFont="1" applyFill="1" applyAlignment="1">
      <alignment horizontal="left" vertical="center"/>
    </xf>
    <xf numFmtId="0" fontId="39" fillId="0" borderId="0" xfId="45" applyFont="1" applyAlignment="1">
      <alignment horizontal="left"/>
    </xf>
    <xf numFmtId="0" fontId="55" fillId="53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42" fillId="35" borderId="42" xfId="51" applyFont="1" applyFill="1" applyBorder="1" applyAlignment="1">
      <alignment vertical="center"/>
    </xf>
    <xf numFmtId="0" fontId="42" fillId="35" borderId="44" xfId="51" applyFont="1" applyFill="1" applyBorder="1" applyAlignment="1">
      <alignment vertical="center"/>
    </xf>
    <xf numFmtId="0" fontId="39" fillId="0" borderId="0" xfId="49" applyFont="1" applyAlignment="1">
      <alignment horizontal="center"/>
    </xf>
    <xf numFmtId="4" fontId="39" fillId="0" borderId="0" xfId="49" applyNumberFormat="1" applyFont="1"/>
    <xf numFmtId="0" fontId="61" fillId="0" borderId="0" xfId="49" applyFont="1" applyAlignment="1">
      <alignment horizontal="left" vertical="center"/>
    </xf>
    <xf numFmtId="171" fontId="43" fillId="34" borderId="43" xfId="48" applyNumberFormat="1" applyFont="1" applyFill="1" applyBorder="1" applyAlignment="1">
      <alignment horizontal="center" vertical="center"/>
    </xf>
    <xf numFmtId="0" fontId="38" fillId="0" borderId="0" xfId="45" applyFont="1" applyAlignment="1">
      <alignment horizontal="left" vertical="center" wrapText="1"/>
    </xf>
    <xf numFmtId="0" fontId="43" fillId="0" borderId="0" xfId="45" applyFont="1" applyAlignment="1">
      <alignment horizontal="left" vertical="center"/>
    </xf>
    <xf numFmtId="0" fontId="35" fillId="49" borderId="37" xfId="45" applyFont="1" applyFill="1" applyBorder="1" applyAlignment="1">
      <alignment horizontal="left" vertical="center"/>
    </xf>
    <xf numFmtId="0" fontId="69" fillId="40" borderId="35" xfId="45" applyFont="1" applyFill="1" applyBorder="1" applyAlignment="1">
      <alignment horizontal="left" vertical="center"/>
    </xf>
    <xf numFmtId="0" fontId="43" fillId="34" borderId="43" xfId="45" applyFont="1" applyFill="1" applyBorder="1" applyAlignment="1">
      <alignment horizontal="left" vertical="center"/>
    </xf>
    <xf numFmtId="1" fontId="43" fillId="34" borderId="0" xfId="45" applyNumberFormat="1" applyFont="1" applyFill="1" applyAlignment="1">
      <alignment horizontal="left" vertical="center"/>
    </xf>
    <xf numFmtId="0" fontId="69" fillId="40" borderId="37" xfId="45" applyFont="1" applyFill="1" applyBorder="1" applyAlignment="1">
      <alignment horizontal="left" vertical="center"/>
    </xf>
    <xf numFmtId="0" fontId="44" fillId="0" borderId="0" xfId="45" applyFont="1" applyAlignment="1">
      <alignment horizontal="left"/>
    </xf>
    <xf numFmtId="9" fontId="0" fillId="0" borderId="0" xfId="34" applyFont="1"/>
    <xf numFmtId="2" fontId="0" fillId="0" borderId="0" xfId="0" applyNumberFormat="1" applyAlignment="1">
      <alignment horizontal="center"/>
    </xf>
    <xf numFmtId="44" fontId="0" fillId="0" borderId="0" xfId="79" applyFont="1" applyAlignment="1">
      <alignment horizontal="center"/>
    </xf>
    <xf numFmtId="44" fontId="0" fillId="0" borderId="0" xfId="0" applyNumberFormat="1" applyAlignment="1">
      <alignment horizontal="center"/>
    </xf>
    <xf numFmtId="164" fontId="39" fillId="0" borderId="0" xfId="36" applyFont="1"/>
    <xf numFmtId="0" fontId="6" fillId="0" borderId="68" xfId="0" applyFont="1" applyBorder="1" applyAlignment="1">
      <alignment horizontal="left"/>
    </xf>
    <xf numFmtId="0" fontId="6" fillId="0" borderId="9" xfId="0" applyFont="1" applyBorder="1" applyAlignment="1">
      <alignment horizontal="center"/>
    </xf>
    <xf numFmtId="0" fontId="6" fillId="0" borderId="69" xfId="0" applyFont="1" applyBorder="1" applyAlignment="1">
      <alignment horizontal="center"/>
    </xf>
    <xf numFmtId="0" fontId="6" fillId="0" borderId="72" xfId="0" applyFont="1" applyBorder="1" applyAlignment="1">
      <alignment horizontal="left"/>
    </xf>
    <xf numFmtId="0" fontId="0" fillId="0" borderId="68" xfId="0" applyBorder="1" applyAlignment="1">
      <alignment horizontal="left"/>
    </xf>
    <xf numFmtId="9" fontId="0" fillId="0" borderId="9" xfId="34" applyFont="1" applyBorder="1" applyAlignment="1">
      <alignment horizontal="center"/>
    </xf>
    <xf numFmtId="9" fontId="0" fillId="0" borderId="69" xfId="34" applyFont="1" applyBorder="1" applyAlignment="1">
      <alignment horizontal="center"/>
    </xf>
    <xf numFmtId="0" fontId="0" fillId="0" borderId="70" xfId="0" applyBorder="1" applyAlignment="1">
      <alignment horizontal="left"/>
    </xf>
    <xf numFmtId="9" fontId="0" fillId="0" borderId="0" xfId="34" applyFont="1" applyBorder="1" applyAlignment="1">
      <alignment horizontal="center"/>
    </xf>
    <xf numFmtId="9" fontId="0" fillId="0" borderId="71" xfId="34" applyFont="1" applyBorder="1" applyAlignment="1">
      <alignment horizontal="center"/>
    </xf>
    <xf numFmtId="0" fontId="0" fillId="0" borderId="72" xfId="0" applyBorder="1" applyAlignment="1">
      <alignment horizontal="left"/>
    </xf>
    <xf numFmtId="9" fontId="0" fillId="0" borderId="4" xfId="34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3" xfId="0" applyBorder="1" applyAlignment="1">
      <alignment horizontal="center"/>
    </xf>
    <xf numFmtId="0" fontId="0" fillId="0" borderId="68" xfId="0" applyBorder="1"/>
    <xf numFmtId="0" fontId="0" fillId="0" borderId="70" xfId="0" applyBorder="1"/>
    <xf numFmtId="0" fontId="0" fillId="0" borderId="71" xfId="0" applyBorder="1" applyAlignment="1">
      <alignment horizontal="center"/>
    </xf>
    <xf numFmtId="0" fontId="0" fillId="0" borderId="72" xfId="0" applyBorder="1"/>
    <xf numFmtId="0" fontId="4" fillId="0" borderId="70" xfId="0" applyFont="1" applyBorder="1" applyAlignment="1">
      <alignment horizontal="center"/>
    </xf>
    <xf numFmtId="164" fontId="0" fillId="0" borderId="0" xfId="36" applyFont="1" applyBorder="1" applyAlignment="1">
      <alignment horizontal="center"/>
    </xf>
    <xf numFmtId="9" fontId="4" fillId="0" borderId="70" xfId="34" applyFont="1" applyBorder="1" applyAlignment="1">
      <alignment horizontal="center"/>
    </xf>
    <xf numFmtId="9" fontId="0" fillId="0" borderId="70" xfId="34" applyFont="1" applyBorder="1" applyAlignment="1">
      <alignment horizontal="center"/>
    </xf>
    <xf numFmtId="164" fontId="0" fillId="0" borderId="0" xfId="34" applyNumberFormat="1" applyFont="1" applyBorder="1" applyAlignment="1">
      <alignment horizontal="center"/>
    </xf>
    <xf numFmtId="9" fontId="0" fillId="0" borderId="71" xfId="34" applyFont="1" applyBorder="1"/>
    <xf numFmtId="0" fontId="0" fillId="0" borderId="4" xfId="0" applyBorder="1"/>
    <xf numFmtId="0" fontId="4" fillId="0" borderId="7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73" xfId="0" applyFont="1" applyBorder="1" applyAlignment="1">
      <alignment horizontal="center"/>
    </xf>
    <xf numFmtId="9" fontId="0" fillId="0" borderId="9" xfId="34" applyFont="1" applyBorder="1" applyAlignment="1">
      <alignment horizontal="center" vertical="center"/>
    </xf>
    <xf numFmtId="9" fontId="0" fillId="0" borderId="0" xfId="34" applyFont="1" applyBorder="1" applyAlignment="1">
      <alignment horizontal="center" vertical="center"/>
    </xf>
    <xf numFmtId="9" fontId="0" fillId="0" borderId="4" xfId="34" applyFont="1" applyBorder="1" applyAlignment="1">
      <alignment horizontal="center" vertical="center"/>
    </xf>
    <xf numFmtId="0" fontId="39" fillId="0" borderId="68" xfId="49" applyFont="1" applyBorder="1"/>
    <xf numFmtId="0" fontId="39" fillId="0" borderId="9" xfId="49" applyFont="1" applyBorder="1"/>
    <xf numFmtId="0" fontId="39" fillId="0" borderId="69" xfId="49" applyFont="1" applyBorder="1"/>
    <xf numFmtId="9" fontId="0" fillId="0" borderId="73" xfId="34" applyFont="1" applyBorder="1" applyAlignment="1">
      <alignment horizontal="center"/>
    </xf>
    <xf numFmtId="2" fontId="35" fillId="49" borderId="32" xfId="0" applyNumberFormat="1" applyFont="1" applyFill="1" applyBorder="1" applyAlignment="1">
      <alignment horizontal="center" vertical="center" wrapText="1"/>
    </xf>
    <xf numFmtId="0" fontId="57" fillId="50" borderId="37" xfId="0" applyFont="1" applyFill="1" applyBorder="1" applyAlignment="1">
      <alignment horizontal="center" vertical="center" wrapText="1"/>
    </xf>
    <xf numFmtId="0" fontId="57" fillId="45" borderId="37" xfId="0" applyFont="1" applyFill="1" applyBorder="1" applyAlignment="1">
      <alignment horizontal="center" vertical="center" wrapText="1"/>
    </xf>
    <xf numFmtId="0" fontId="55" fillId="42" borderId="78" xfId="0" applyFont="1" applyFill="1" applyBorder="1" applyAlignment="1">
      <alignment horizontal="center" vertical="center" wrapText="1"/>
    </xf>
    <xf numFmtId="0" fontId="57" fillId="50" borderId="35" xfId="0" applyFont="1" applyFill="1" applyBorder="1" applyAlignment="1">
      <alignment horizontal="center" vertical="center" wrapText="1"/>
    </xf>
    <xf numFmtId="0" fontId="57" fillId="45" borderId="35" xfId="0" applyFont="1" applyFill="1" applyBorder="1" applyAlignment="1">
      <alignment horizontal="center" vertical="center" wrapText="1"/>
    </xf>
    <xf numFmtId="0" fontId="55" fillId="42" borderId="37" xfId="0" applyFont="1" applyFill="1" applyBorder="1" applyAlignment="1">
      <alignment horizontal="center" vertical="center" wrapText="1"/>
    </xf>
    <xf numFmtId="0" fontId="54" fillId="41" borderId="78" xfId="0" applyFont="1" applyFill="1" applyBorder="1"/>
    <xf numFmtId="0" fontId="54" fillId="34" borderId="44" xfId="0" applyFont="1" applyFill="1" applyBorder="1"/>
    <xf numFmtId="0" fontId="39" fillId="0" borderId="37" xfId="51" applyFont="1" applyBorder="1" applyAlignment="1">
      <alignment horizontal="center"/>
    </xf>
    <xf numFmtId="3" fontId="42" fillId="34" borderId="42" xfId="51" applyNumberFormat="1" applyFont="1" applyFill="1" applyBorder="1" applyAlignment="1">
      <alignment horizontal="left" vertical="center"/>
    </xf>
    <xf numFmtId="2" fontId="42" fillId="34" borderId="43" xfId="51" applyNumberFormat="1" applyFont="1" applyFill="1" applyBorder="1" applyAlignment="1">
      <alignment horizontal="center" vertical="center"/>
    </xf>
    <xf numFmtId="2" fontId="42" fillId="34" borderId="42" xfId="51" applyNumberFormat="1" applyFont="1" applyFill="1" applyBorder="1" applyAlignment="1">
      <alignment horizontal="center" vertical="center"/>
    </xf>
    <xf numFmtId="3" fontId="47" fillId="55" borderId="42" xfId="51" applyNumberFormat="1" applyFont="1" applyFill="1" applyBorder="1" applyAlignment="1">
      <alignment horizontal="center" vertical="center"/>
    </xf>
    <xf numFmtId="3" fontId="42" fillId="55" borderId="42" xfId="51" applyNumberFormat="1" applyFont="1" applyFill="1" applyBorder="1" applyAlignment="1">
      <alignment horizontal="center" vertical="center"/>
    </xf>
    <xf numFmtId="3" fontId="47" fillId="55" borderId="42" xfId="51" applyNumberFormat="1" applyFont="1" applyFill="1" applyBorder="1" applyAlignment="1">
      <alignment horizontal="left" vertical="center"/>
    </xf>
    <xf numFmtId="4" fontId="47" fillId="55" borderId="42" xfId="51" applyNumberFormat="1" applyFont="1" applyFill="1" applyBorder="1" applyAlignment="1">
      <alignment horizontal="left" vertical="center"/>
    </xf>
    <xf numFmtId="4" fontId="47" fillId="55" borderId="42" xfId="51" applyNumberFormat="1" applyFont="1" applyFill="1" applyBorder="1" applyAlignment="1">
      <alignment horizontal="center" vertical="center"/>
    </xf>
    <xf numFmtId="3" fontId="42" fillId="34" borderId="43" xfId="51" applyNumberFormat="1" applyFont="1" applyFill="1" applyBorder="1" applyAlignment="1">
      <alignment horizontal="center" vertical="center"/>
    </xf>
    <xf numFmtId="3" fontId="47" fillId="55" borderId="44" xfId="51" applyNumberFormat="1" applyFont="1" applyFill="1" applyBorder="1" applyAlignment="1">
      <alignment horizontal="left" vertical="center"/>
    </xf>
    <xf numFmtId="4" fontId="42" fillId="34" borderId="43" xfId="51" applyNumberFormat="1" applyFont="1" applyFill="1" applyBorder="1" applyAlignment="1">
      <alignment horizontal="center" vertical="center"/>
    </xf>
    <xf numFmtId="1" fontId="64" fillId="34" borderId="43" xfId="0" applyNumberFormat="1" applyFont="1" applyFill="1" applyBorder="1" applyAlignment="1">
      <alignment horizontal="center" vertical="center"/>
    </xf>
    <xf numFmtId="1" fontId="64" fillId="0" borderId="43" xfId="36" applyNumberFormat="1" applyFont="1" applyFill="1" applyBorder="1" applyAlignment="1">
      <alignment horizontal="center" vertical="center" wrapText="1"/>
    </xf>
    <xf numFmtId="1" fontId="64" fillId="0" borderId="43" xfId="36" applyNumberFormat="1" applyFont="1" applyFill="1" applyBorder="1" applyAlignment="1">
      <alignment horizontal="center" vertical="center"/>
    </xf>
    <xf numFmtId="49" fontId="64" fillId="0" borderId="43" xfId="36" applyNumberFormat="1" applyFont="1" applyFill="1" applyBorder="1" applyAlignment="1">
      <alignment horizontal="center" vertical="center"/>
    </xf>
    <xf numFmtId="4" fontId="64" fillId="0" borderId="43" xfId="36" applyNumberFormat="1" applyFont="1" applyFill="1" applyBorder="1" applyAlignment="1">
      <alignment horizontal="center" vertical="center"/>
    </xf>
    <xf numFmtId="4" fontId="64" fillId="0" borderId="43" xfId="36" applyNumberFormat="1" applyFont="1" applyFill="1" applyBorder="1" applyAlignment="1">
      <alignment horizontal="right" vertical="center"/>
    </xf>
    <xf numFmtId="4" fontId="67" fillId="0" borderId="43" xfId="36" applyNumberFormat="1" applyFont="1" applyFill="1" applyBorder="1" applyAlignment="1">
      <alignment horizontal="right" vertical="center"/>
    </xf>
    <xf numFmtId="172" fontId="42" fillId="34" borderId="43" xfId="51" applyNumberFormat="1" applyFont="1" applyFill="1" applyBorder="1" applyAlignment="1">
      <alignment horizontal="center" vertical="center"/>
    </xf>
    <xf numFmtId="10" fontId="50" fillId="34" borderId="42" xfId="34" applyNumberFormat="1" applyFont="1" applyFill="1" applyBorder="1" applyAlignment="1">
      <alignment horizontal="right" vertical="center"/>
    </xf>
    <xf numFmtId="2" fontId="39" fillId="0" borderId="0" xfId="45" applyNumberFormat="1" applyFont="1" applyAlignment="1">
      <alignment vertical="top"/>
    </xf>
    <xf numFmtId="4" fontId="39" fillId="0" borderId="0" xfId="45" applyNumberFormat="1" applyFont="1"/>
    <xf numFmtId="9" fontId="0" fillId="0" borderId="71" xfId="34" applyFont="1" applyBorder="1" applyAlignment="1">
      <alignment horizontal="center" vertical="center"/>
    </xf>
    <xf numFmtId="173" fontId="37" fillId="36" borderId="0" xfId="46" applyNumberFormat="1" applyFont="1" applyFill="1" applyAlignment="1">
      <alignment vertical="center"/>
    </xf>
    <xf numFmtId="170" fontId="37" fillId="34" borderId="43" xfId="51" applyNumberFormat="1" applyFont="1" applyFill="1" applyBorder="1" applyAlignment="1">
      <alignment horizontal="center" vertical="center"/>
    </xf>
    <xf numFmtId="0" fontId="65" fillId="49" borderId="0" xfId="0" applyFont="1" applyFill="1" applyAlignment="1">
      <alignment vertical="top" wrapText="1"/>
    </xf>
    <xf numFmtId="0" fontId="79" fillId="49" borderId="0" xfId="80" applyFont="1" applyFill="1" applyAlignment="1">
      <alignment vertical="top" wrapText="1"/>
    </xf>
    <xf numFmtId="0" fontId="77" fillId="49" borderId="0" xfId="0" applyFont="1" applyFill="1" applyAlignment="1">
      <alignment vertical="top" wrapText="1"/>
    </xf>
    <xf numFmtId="0" fontId="65" fillId="49" borderId="0" xfId="0" applyFont="1" applyFill="1" applyAlignment="1">
      <alignment horizontal="left" vertical="top" wrapText="1"/>
    </xf>
    <xf numFmtId="0" fontId="79" fillId="49" borderId="0" xfId="80" applyFont="1" applyFill="1" applyAlignment="1">
      <alignment horizontal="left" vertical="top" wrapText="1"/>
    </xf>
    <xf numFmtId="0" fontId="77" fillId="49" borderId="0" xfId="0" applyFont="1" applyFill="1" applyAlignment="1">
      <alignment horizontal="left" vertical="top" wrapText="1"/>
    </xf>
    <xf numFmtId="10" fontId="63" fillId="0" borderId="0" xfId="46" applyNumberFormat="1" applyFont="1" applyFill="1" applyAlignment="1">
      <alignment horizontal="right" vertical="top"/>
    </xf>
    <xf numFmtId="2" fontId="77" fillId="0" borderId="0" xfId="0" applyNumberFormat="1" applyFont="1" applyAlignment="1">
      <alignment vertical="center" wrapText="1"/>
    </xf>
    <xf numFmtId="2" fontId="77" fillId="0" borderId="71" xfId="0" applyNumberFormat="1" applyFont="1" applyBorder="1" applyAlignment="1">
      <alignment vertical="center" wrapText="1"/>
    </xf>
    <xf numFmtId="17" fontId="67" fillId="0" borderId="70" xfId="0" applyNumberFormat="1" applyFont="1" applyBorder="1" applyAlignment="1">
      <alignment horizontal="center" vertical="top" wrapText="1"/>
    </xf>
    <xf numFmtId="44" fontId="67" fillId="0" borderId="70" xfId="79" applyFont="1" applyBorder="1" applyAlignment="1">
      <alignment horizontal="center" vertical="top"/>
    </xf>
    <xf numFmtId="44" fontId="67" fillId="0" borderId="0" xfId="79" applyFont="1" applyBorder="1" applyAlignment="1">
      <alignment vertical="top"/>
    </xf>
    <xf numFmtId="44" fontId="77" fillId="0" borderId="70" xfId="79" applyFont="1" applyBorder="1" applyAlignment="1">
      <alignment horizontal="center" vertical="top"/>
    </xf>
    <xf numFmtId="44" fontId="77" fillId="0" borderId="0" xfId="79" applyFont="1" applyBorder="1" applyAlignment="1">
      <alignment vertical="top"/>
    </xf>
    <xf numFmtId="0" fontId="77" fillId="0" borderId="71" xfId="0" applyFont="1" applyBorder="1" applyAlignment="1">
      <alignment vertical="top"/>
    </xf>
    <xf numFmtId="44" fontId="67" fillId="0" borderId="72" xfId="79" applyFont="1" applyBorder="1" applyAlignment="1">
      <alignment horizontal="center" vertical="top"/>
    </xf>
    <xf numFmtId="44" fontId="67" fillId="0" borderId="4" xfId="79" applyFont="1" applyBorder="1" applyAlignment="1">
      <alignment vertical="top"/>
    </xf>
    <xf numFmtId="2" fontId="67" fillId="0" borderId="70" xfId="0" applyNumberFormat="1" applyFont="1" applyBorder="1" applyAlignment="1">
      <alignment vertical="center" wrapText="1"/>
    </xf>
    <xf numFmtId="2" fontId="67" fillId="0" borderId="0" xfId="0" applyNumberFormat="1" applyFont="1" applyAlignment="1">
      <alignment vertical="center" wrapText="1"/>
    </xf>
    <xf numFmtId="44" fontId="67" fillId="0" borderId="72" xfId="79" applyFont="1" applyBorder="1" applyAlignment="1">
      <alignment vertical="center"/>
    </xf>
    <xf numFmtId="44" fontId="67" fillId="0" borderId="4" xfId="79" applyFont="1" applyBorder="1" applyAlignment="1">
      <alignment vertical="center"/>
    </xf>
    <xf numFmtId="2" fontId="77" fillId="53" borderId="73" xfId="0" applyNumberFormat="1" applyFont="1" applyFill="1" applyBorder="1" applyAlignment="1">
      <alignment horizontal="center" vertical="center" wrapText="1"/>
    </xf>
    <xf numFmtId="0" fontId="38" fillId="0" borderId="31" xfId="45" applyFont="1" applyBorder="1" applyAlignment="1">
      <alignment vertical="center" wrapText="1"/>
    </xf>
    <xf numFmtId="0" fontId="39" fillId="0" borderId="31" xfId="45" applyFont="1" applyBorder="1" applyAlignment="1">
      <alignment horizontal="right" vertical="center"/>
    </xf>
    <xf numFmtId="0" fontId="39" fillId="0" borderId="31" xfId="45" applyFont="1" applyBorder="1" applyAlignment="1">
      <alignment horizontal="center" vertical="center"/>
    </xf>
    <xf numFmtId="0" fontId="43" fillId="0" borderId="31" xfId="45" applyFont="1" applyBorder="1" applyAlignment="1">
      <alignment horizontal="center" vertical="center"/>
    </xf>
    <xf numFmtId="0" fontId="43" fillId="0" borderId="31" xfId="45" applyFont="1" applyBorder="1" applyAlignment="1">
      <alignment horizontal="justify" vertical="center" wrapText="1"/>
    </xf>
    <xf numFmtId="2" fontId="43" fillId="0" borderId="31" xfId="45" applyNumberFormat="1" applyFont="1" applyBorder="1" applyAlignment="1">
      <alignment horizontal="right" vertical="center"/>
    </xf>
    <xf numFmtId="4" fontId="43" fillId="0" borderId="31" xfId="45" applyNumberFormat="1" applyFont="1" applyBorder="1" applyAlignment="1">
      <alignment horizontal="center" vertical="center"/>
    </xf>
    <xf numFmtId="3" fontId="43" fillId="0" borderId="31" xfId="45" applyNumberFormat="1" applyFont="1" applyBorder="1" applyAlignment="1">
      <alignment horizontal="center" vertical="center"/>
    </xf>
    <xf numFmtId="4" fontId="43" fillId="0" borderId="31" xfId="45" applyNumberFormat="1" applyFont="1" applyBorder="1" applyAlignment="1">
      <alignment vertical="center"/>
    </xf>
    <xf numFmtId="10" fontId="50" fillId="0" borderId="31" xfId="46" applyNumberFormat="1" applyFont="1" applyBorder="1" applyAlignment="1">
      <alignment horizontal="right" vertical="center"/>
    </xf>
    <xf numFmtId="1" fontId="38" fillId="0" borderId="31" xfId="45" applyNumberFormat="1" applyFont="1" applyBorder="1" applyAlignment="1">
      <alignment horizontal="center" vertical="center"/>
    </xf>
    <xf numFmtId="43" fontId="38" fillId="0" borderId="31" xfId="47" applyNumberFormat="1" applyFont="1" applyBorder="1" applyAlignment="1">
      <alignment horizontal="center" vertical="center"/>
    </xf>
    <xf numFmtId="0" fontId="48" fillId="0" borderId="31" xfId="45" applyFont="1" applyBorder="1" applyAlignment="1">
      <alignment horizontal="left" vertical="center"/>
    </xf>
    <xf numFmtId="0" fontId="38" fillId="0" borderId="31" xfId="45" applyFont="1" applyBorder="1" applyAlignment="1">
      <alignment horizontal="right"/>
    </xf>
    <xf numFmtId="164" fontId="38" fillId="0" borderId="31" xfId="45" applyNumberFormat="1" applyFont="1" applyBorder="1" applyAlignment="1">
      <alignment horizontal="center" vertical="center"/>
    </xf>
    <xf numFmtId="0" fontId="38" fillId="0" borderId="31" xfId="45" applyFont="1" applyBorder="1" applyAlignment="1">
      <alignment vertical="center"/>
    </xf>
    <xf numFmtId="4" fontId="38" fillId="0" borderId="31" xfId="46" applyNumberFormat="1" applyFont="1" applyBorder="1" applyAlignment="1">
      <alignment horizontal="right" vertical="center"/>
    </xf>
    <xf numFmtId="0" fontId="44" fillId="0" borderId="31" xfId="45" applyFont="1" applyBorder="1" applyAlignment="1">
      <alignment vertical="center"/>
    </xf>
    <xf numFmtId="0" fontId="44" fillId="0" borderId="31" xfId="45" applyFont="1" applyBorder="1"/>
    <xf numFmtId="0" fontId="44" fillId="0" borderId="31" xfId="45" applyFont="1" applyBorder="1" applyAlignment="1">
      <alignment horizontal="right"/>
    </xf>
    <xf numFmtId="0" fontId="44" fillId="0" borderId="31" xfId="45" applyFont="1" applyBorder="1" applyAlignment="1">
      <alignment horizontal="center"/>
    </xf>
    <xf numFmtId="0" fontId="44" fillId="0" borderId="31" xfId="45" applyFont="1" applyBorder="1" applyAlignment="1">
      <alignment horizontal="center" vertical="top"/>
    </xf>
    <xf numFmtId="0" fontId="44" fillId="0" borderId="31" xfId="45" applyFont="1" applyBorder="1" applyAlignment="1">
      <alignment horizontal="left" vertical="top" wrapText="1"/>
    </xf>
    <xf numFmtId="4" fontId="21" fillId="49" borderId="63" xfId="0" applyNumberFormat="1" applyFont="1" applyFill="1" applyBorder="1" applyAlignment="1">
      <alignment horizontal="center" vertical="center"/>
    </xf>
    <xf numFmtId="4" fontId="42" fillId="34" borderId="42" xfId="51" applyNumberFormat="1" applyFont="1" applyFill="1" applyBorder="1" applyAlignment="1">
      <alignment horizontal="center" vertical="center"/>
    </xf>
    <xf numFmtId="4" fontId="42" fillId="0" borderId="42" xfId="49" applyNumberFormat="1" applyFont="1" applyBorder="1" applyAlignment="1">
      <alignment horizontal="center" vertical="center"/>
    </xf>
    <xf numFmtId="4" fontId="42" fillId="0" borderId="42" xfId="51" applyNumberFormat="1" applyFont="1" applyBorder="1" applyAlignment="1">
      <alignment horizontal="center" vertical="center"/>
    </xf>
    <xf numFmtId="4" fontId="53" fillId="34" borderId="42" xfId="0" applyNumberFormat="1" applyFont="1" applyFill="1" applyBorder="1" applyAlignment="1">
      <alignment horizontal="center" vertical="center"/>
    </xf>
    <xf numFmtId="174" fontId="53" fillId="34" borderId="42" xfId="0" applyNumberFormat="1" applyFont="1" applyFill="1" applyBorder="1" applyAlignment="1">
      <alignment horizontal="center" vertical="center"/>
    </xf>
    <xf numFmtId="168" fontId="43" fillId="34" borderId="43" xfId="45" applyNumberFormat="1" applyFont="1" applyFill="1" applyBorder="1" applyAlignment="1">
      <alignment horizontal="right" vertical="center"/>
    </xf>
    <xf numFmtId="168" fontId="43" fillId="34" borderId="42" xfId="45" applyNumberFormat="1" applyFont="1" applyFill="1" applyBorder="1" applyAlignment="1">
      <alignment horizontal="right" vertical="center"/>
    </xf>
    <xf numFmtId="168" fontId="43" fillId="34" borderId="43" xfId="45" applyNumberFormat="1" applyFont="1" applyFill="1" applyBorder="1" applyAlignment="1">
      <alignment horizontal="center" vertical="center" wrapText="1"/>
    </xf>
    <xf numFmtId="168" fontId="43" fillId="34" borderId="43" xfId="48" applyNumberFormat="1" applyFont="1" applyFill="1" applyBorder="1" applyAlignment="1">
      <alignment horizontal="right" vertical="center"/>
    </xf>
    <xf numFmtId="168" fontId="43" fillId="34" borderId="43" xfId="48" applyNumberFormat="1" applyFont="1" applyFill="1" applyBorder="1" applyAlignment="1">
      <alignment horizontal="center" vertical="center"/>
    </xf>
    <xf numFmtId="168" fontId="43" fillId="34" borderId="42" xfId="48" applyNumberFormat="1" applyFont="1" applyFill="1" applyBorder="1" applyAlignment="1">
      <alignment horizontal="center" vertical="center"/>
    </xf>
    <xf numFmtId="4" fontId="67" fillId="34" borderId="43" xfId="36" applyNumberFormat="1" applyFont="1" applyFill="1" applyBorder="1" applyAlignment="1">
      <alignment horizontal="center" vertical="top"/>
    </xf>
    <xf numFmtId="175" fontId="0" fillId="0" borderId="71" xfId="34" applyNumberFormat="1" applyFont="1" applyBorder="1" applyAlignment="1">
      <alignment horizontal="center"/>
    </xf>
    <xf numFmtId="176" fontId="6" fillId="0" borderId="4" xfId="0" applyNumberFormat="1" applyFont="1" applyBorder="1" applyAlignment="1">
      <alignment horizontal="center"/>
    </xf>
    <xf numFmtId="176" fontId="6" fillId="0" borderId="4" xfId="0" applyNumberFormat="1" applyFont="1" applyBorder="1"/>
    <xf numFmtId="176" fontId="6" fillId="0" borderId="73" xfId="0" applyNumberFormat="1" applyFont="1" applyBorder="1"/>
    <xf numFmtId="4" fontId="43" fillId="34" borderId="43" xfId="36" applyNumberFormat="1" applyFont="1" applyFill="1" applyBorder="1" applyAlignment="1">
      <alignment horizontal="center" vertical="center" wrapText="1"/>
    </xf>
    <xf numFmtId="4" fontId="43" fillId="0" borderId="0" xfId="45" applyNumberFormat="1" applyFont="1" applyAlignment="1">
      <alignment horizontal="right" vertical="center"/>
    </xf>
    <xf numFmtId="4" fontId="69" fillId="40" borderId="35" xfId="45" applyNumberFormat="1" applyFont="1" applyFill="1" applyBorder="1" applyAlignment="1">
      <alignment horizontal="right" vertical="center"/>
    </xf>
    <xf numFmtId="4" fontId="69" fillId="40" borderId="35" xfId="45" applyNumberFormat="1" applyFont="1" applyFill="1" applyBorder="1" applyAlignment="1">
      <alignment horizontal="center" vertical="center"/>
    </xf>
    <xf numFmtId="4" fontId="69" fillId="35" borderId="0" xfId="45" applyNumberFormat="1" applyFont="1" applyFill="1" applyAlignment="1">
      <alignment horizontal="center" vertical="center"/>
    </xf>
    <xf numFmtId="4" fontId="69" fillId="35" borderId="0" xfId="45" applyNumberFormat="1" applyFont="1" applyFill="1" applyAlignment="1">
      <alignment horizontal="left" vertical="center"/>
    </xf>
    <xf numFmtId="4" fontId="35" fillId="40" borderId="37" xfId="45" applyNumberFormat="1" applyFont="1" applyFill="1" applyBorder="1" applyAlignment="1">
      <alignment horizontal="right" vertical="center"/>
    </xf>
    <xf numFmtId="4" fontId="35" fillId="40" borderId="37" xfId="45" applyNumberFormat="1" applyFont="1" applyFill="1" applyBorder="1" applyAlignment="1">
      <alignment horizontal="center" vertical="center"/>
    </xf>
    <xf numFmtId="4" fontId="35" fillId="40" borderId="37" xfId="45" applyNumberFormat="1" applyFont="1" applyFill="1" applyBorder="1" applyAlignment="1">
      <alignment vertical="center"/>
    </xf>
    <xf numFmtId="4" fontId="45" fillId="35" borderId="32" xfId="45" applyNumberFormat="1" applyFont="1" applyFill="1" applyBorder="1" applyAlignment="1">
      <alignment horizontal="center" vertical="center"/>
    </xf>
    <xf numFmtId="4" fontId="45" fillId="35" borderId="32" xfId="45" applyNumberFormat="1" applyFont="1" applyFill="1" applyBorder="1" applyAlignment="1">
      <alignment horizontal="left" vertical="center"/>
    </xf>
    <xf numFmtId="4" fontId="45" fillId="35" borderId="0" xfId="45" applyNumberFormat="1" applyFont="1" applyFill="1" applyAlignment="1">
      <alignment horizontal="center" vertical="center"/>
    </xf>
    <xf numFmtId="4" fontId="45" fillId="35" borderId="0" xfId="45" applyNumberFormat="1" applyFont="1" applyFill="1" applyAlignment="1">
      <alignment horizontal="left" vertical="center"/>
    </xf>
    <xf numFmtId="4" fontId="43" fillId="34" borderId="0" xfId="48" applyNumberFormat="1" applyFont="1" applyFill="1" applyBorder="1" applyAlignment="1">
      <alignment horizontal="center" vertical="center"/>
    </xf>
    <xf numFmtId="4" fontId="43" fillId="34" borderId="43" xfId="36" applyNumberFormat="1" applyFont="1" applyFill="1" applyBorder="1" applyAlignment="1">
      <alignment horizontal="center" vertical="center"/>
    </xf>
    <xf numFmtId="4" fontId="43" fillId="34" borderId="43" xfId="45" applyNumberFormat="1" applyFont="1" applyFill="1" applyBorder="1" applyAlignment="1">
      <alignment horizontal="right" vertical="center" wrapText="1"/>
    </xf>
    <xf numFmtId="4" fontId="42" fillId="47" borderId="45" xfId="51" applyNumberFormat="1" applyFont="1" applyFill="1" applyBorder="1" applyAlignment="1">
      <alignment horizontal="center" vertical="center"/>
    </xf>
    <xf numFmtId="4" fontId="42" fillId="47" borderId="37" xfId="51" applyNumberFormat="1" applyFont="1" applyFill="1" applyBorder="1" applyAlignment="1">
      <alignment horizontal="center" vertical="center"/>
    </xf>
    <xf numFmtId="4" fontId="42" fillId="47" borderId="35" xfId="51" applyNumberFormat="1" applyFont="1" applyFill="1" applyBorder="1" applyAlignment="1">
      <alignment horizontal="center" vertical="center"/>
    </xf>
    <xf numFmtId="4" fontId="37" fillId="44" borderId="37" xfId="51" applyNumberFormat="1" applyFont="1" applyFill="1" applyBorder="1" applyAlignment="1">
      <alignment horizontal="center" vertical="center"/>
    </xf>
    <xf numFmtId="4" fontId="37" fillId="44" borderId="35" xfId="51" applyNumberFormat="1" applyFont="1" applyFill="1" applyBorder="1" applyAlignment="1">
      <alignment horizontal="center" vertical="center"/>
    </xf>
    <xf numFmtId="4" fontId="37" fillId="44" borderId="46" xfId="51" applyNumberFormat="1" applyFont="1" applyFill="1" applyBorder="1" applyAlignment="1">
      <alignment horizontal="center" vertical="center"/>
    </xf>
    <xf numFmtId="3" fontId="42" fillId="47" borderId="45" xfId="51" applyNumberFormat="1" applyFont="1" applyFill="1" applyBorder="1" applyAlignment="1">
      <alignment horizontal="center" vertical="center"/>
    </xf>
    <xf numFmtId="10" fontId="42" fillId="47" borderId="35" xfId="34" applyNumberFormat="1" applyFont="1" applyFill="1" applyBorder="1" applyAlignment="1">
      <alignment horizontal="center" vertical="center"/>
    </xf>
    <xf numFmtId="14" fontId="63" fillId="0" borderId="31" xfId="0" applyNumberFormat="1" applyFont="1" applyBorder="1" applyAlignment="1">
      <alignment horizontal="center" vertical="center"/>
    </xf>
    <xf numFmtId="0" fontId="73" fillId="49" borderId="31" xfId="0" applyFont="1" applyFill="1" applyBorder="1" applyAlignment="1">
      <alignment horizontal="center" vertical="center" wrapText="1"/>
    </xf>
    <xf numFmtId="0" fontId="74" fillId="52" borderId="31" xfId="0" applyFont="1" applyFill="1" applyBorder="1" applyAlignment="1">
      <alignment horizontal="center" vertical="center" wrapText="1"/>
    </xf>
    <xf numFmtId="0" fontId="75" fillId="52" borderId="31" xfId="0" applyFont="1" applyFill="1" applyBorder="1" applyAlignment="1">
      <alignment vertical="center" wrapText="1"/>
    </xf>
    <xf numFmtId="170" fontId="75" fillId="52" borderId="31" xfId="0" applyNumberFormat="1" applyFont="1" applyFill="1" applyBorder="1" applyAlignment="1">
      <alignment vertical="center" wrapText="1"/>
    </xf>
    <xf numFmtId="0" fontId="74" fillId="48" borderId="31" xfId="0" applyFont="1" applyFill="1" applyBorder="1" applyAlignment="1">
      <alignment horizontal="center" vertical="center" wrapText="1"/>
    </xf>
    <xf numFmtId="0" fontId="75" fillId="48" borderId="31" xfId="0" applyFont="1" applyFill="1" applyBorder="1" applyAlignment="1">
      <alignment vertical="center" wrapText="1"/>
    </xf>
    <xf numFmtId="170" fontId="75" fillId="48" borderId="31" xfId="0" applyNumberFormat="1" applyFont="1" applyFill="1" applyBorder="1" applyAlignment="1">
      <alignment vertical="center" wrapText="1"/>
    </xf>
    <xf numFmtId="0" fontId="74" fillId="48" borderId="57" xfId="0" applyFont="1" applyFill="1" applyBorder="1" applyAlignment="1">
      <alignment horizontal="center" vertical="center" wrapText="1"/>
    </xf>
    <xf numFmtId="0" fontId="75" fillId="48" borderId="57" xfId="0" applyFont="1" applyFill="1" applyBorder="1" applyAlignment="1">
      <alignment vertical="center" wrapText="1"/>
    </xf>
    <xf numFmtId="170" fontId="75" fillId="48" borderId="57" xfId="0" applyNumberFormat="1" applyFont="1" applyFill="1" applyBorder="1" applyAlignment="1">
      <alignment vertical="center" wrapText="1"/>
    </xf>
    <xf numFmtId="0" fontId="38" fillId="0" borderId="0" xfId="0" applyFont="1" applyAlignment="1">
      <alignment vertical="center" wrapText="1"/>
    </xf>
    <xf numFmtId="4" fontId="36" fillId="38" borderId="0" xfId="49" applyNumberFormat="1" applyFont="1" applyFill="1" applyAlignment="1">
      <alignment horizontal="center" vertical="center"/>
    </xf>
    <xf numFmtId="0" fontId="70" fillId="0" borderId="0" xfId="45" applyFont="1" applyAlignment="1">
      <alignment horizontal="center" vertical="center"/>
    </xf>
    <xf numFmtId="0" fontId="70" fillId="0" borderId="9" xfId="45" applyFont="1" applyBorder="1" applyAlignment="1">
      <alignment vertical="center" wrapText="1"/>
    </xf>
    <xf numFmtId="0" fontId="70" fillId="0" borderId="0" xfId="45" applyFont="1" applyAlignment="1">
      <alignment vertical="center" wrapText="1"/>
    </xf>
    <xf numFmtId="0" fontId="70" fillId="0" borderId="0" xfId="45" applyFont="1" applyAlignment="1">
      <alignment vertical="center"/>
    </xf>
    <xf numFmtId="0" fontId="38" fillId="0" borderId="37" xfId="0" applyFont="1" applyBorder="1" applyAlignment="1">
      <alignment vertical="center" wrapText="1"/>
    </xf>
    <xf numFmtId="0" fontId="39" fillId="0" borderId="37" xfId="51" applyFont="1" applyBorder="1"/>
    <xf numFmtId="0" fontId="63" fillId="0" borderId="0" xfId="0" applyFont="1" applyAlignment="1">
      <alignment vertical="top" wrapText="1"/>
    </xf>
    <xf numFmtId="0" fontId="64" fillId="0" borderId="70" xfId="0" applyFont="1" applyBorder="1" applyAlignment="1">
      <alignment horizontal="center" vertical="center"/>
    </xf>
    <xf numFmtId="0" fontId="38" fillId="0" borderId="37" xfId="0" applyFont="1" applyBorder="1" applyAlignment="1">
      <alignment vertical="center"/>
    </xf>
    <xf numFmtId="0" fontId="45" fillId="0" borderId="0" xfId="49" applyFont="1" applyAlignment="1">
      <alignment horizontal="center" vertical="center"/>
    </xf>
    <xf numFmtId="0" fontId="78" fillId="0" borderId="0" xfId="80" applyAlignment="1">
      <alignment horizontal="left" vertical="center"/>
    </xf>
    <xf numFmtId="0" fontId="39" fillId="0" borderId="0" xfId="0" applyFont="1" applyAlignment="1">
      <alignment horizontal="center"/>
    </xf>
    <xf numFmtId="0" fontId="38" fillId="0" borderId="0" xfId="0" applyFont="1"/>
    <xf numFmtId="167" fontId="38" fillId="0" borderId="0" xfId="0" applyNumberFormat="1" applyFont="1" applyAlignment="1">
      <alignment vertical="center"/>
    </xf>
    <xf numFmtId="0" fontId="82" fillId="0" borderId="0" xfId="0" applyFont="1"/>
    <xf numFmtId="0" fontId="54" fillId="0" borderId="44" xfId="0" applyFont="1" applyBorder="1"/>
    <xf numFmtId="0" fontId="64" fillId="34" borderId="43" xfId="0" applyFont="1" applyFill="1" applyBorder="1" applyAlignment="1">
      <alignment horizontal="left" vertical="top" wrapText="1"/>
    </xf>
    <xf numFmtId="0" fontId="77" fillId="53" borderId="71" xfId="0" applyFont="1" applyFill="1" applyBorder="1" applyAlignment="1">
      <alignment horizontal="center" vertical="center" wrapText="1"/>
    </xf>
    <xf numFmtId="0" fontId="77" fillId="53" borderId="73" xfId="0" applyFont="1" applyFill="1" applyBorder="1" applyAlignment="1">
      <alignment horizontal="center" vertical="center" wrapText="1"/>
    </xf>
    <xf numFmtId="0" fontId="67" fillId="0" borderId="0" xfId="0" applyFont="1" applyAlignment="1">
      <alignment horizontal="center" vertical="top"/>
    </xf>
    <xf numFmtId="0" fontId="67" fillId="0" borderId="71" xfId="0" applyFont="1" applyBorder="1" applyAlignment="1">
      <alignment horizontal="center" vertical="top"/>
    </xf>
    <xf numFmtId="0" fontId="65" fillId="49" borderId="0" xfId="0" applyFont="1" applyFill="1" applyAlignment="1">
      <alignment horizontal="center" vertical="top"/>
    </xf>
    <xf numFmtId="49" fontId="65" fillId="49" borderId="0" xfId="0" applyNumberFormat="1" applyFont="1" applyFill="1" applyAlignment="1">
      <alignment horizontal="center" vertical="top" wrapText="1"/>
    </xf>
    <xf numFmtId="0" fontId="80" fillId="0" borderId="0" xfId="0" applyFont="1" applyAlignment="1">
      <alignment horizontal="center" vertical="center" wrapText="1"/>
    </xf>
    <xf numFmtId="0" fontId="67" fillId="0" borderId="0" xfId="0" applyFont="1" applyAlignment="1">
      <alignment horizontal="center" vertical="center"/>
    </xf>
    <xf numFmtId="0" fontId="67" fillId="0" borderId="71" xfId="0" applyFont="1" applyBorder="1" applyAlignment="1">
      <alignment horizontal="center" vertical="center"/>
    </xf>
    <xf numFmtId="2" fontId="67" fillId="0" borderId="68" xfId="0" applyNumberFormat="1" applyFont="1" applyBorder="1" applyAlignment="1">
      <alignment horizontal="center" vertical="center" wrapText="1"/>
    </xf>
    <xf numFmtId="2" fontId="67" fillId="0" borderId="9" xfId="0" applyNumberFormat="1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center" vertical="center" wrapText="1"/>
    </xf>
    <xf numFmtId="0" fontId="64" fillId="0" borderId="0" xfId="0" applyFont="1" applyAlignment="1">
      <alignment horizontal="left" vertical="top" wrapText="1"/>
    </xf>
    <xf numFmtId="0" fontId="64" fillId="34" borderId="42" xfId="0" applyFont="1" applyFill="1" applyBorder="1" applyAlignment="1">
      <alignment horizontal="left" vertical="top" wrapText="1"/>
    </xf>
    <xf numFmtId="0" fontId="64" fillId="34" borderId="0" xfId="0" applyFont="1" applyFill="1" applyAlignment="1">
      <alignment horizontal="left" vertical="top" wrapText="1"/>
    </xf>
    <xf numFmtId="2" fontId="77" fillId="0" borderId="0" xfId="0" applyNumberFormat="1" applyFont="1" applyAlignment="1">
      <alignment horizontal="center" vertical="top"/>
    </xf>
    <xf numFmtId="0" fontId="40" fillId="54" borderId="0" xfId="0" applyFont="1" applyFill="1" applyAlignment="1">
      <alignment horizontal="center" vertical="center"/>
    </xf>
    <xf numFmtId="0" fontId="40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0" borderId="0" xfId="0" applyFont="1" applyAlignment="1">
      <alignment horizontal="center"/>
    </xf>
    <xf numFmtId="0" fontId="12" fillId="0" borderId="4" xfId="0" applyFont="1" applyBorder="1" applyAlignment="1">
      <alignment horizontal="justify" vertical="center"/>
    </xf>
    <xf numFmtId="0" fontId="10" fillId="0" borderId="9" xfId="0" applyFont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0" fillId="9" borderId="0" xfId="0" applyFont="1" applyFill="1" applyAlignment="1">
      <alignment horizontal="left" vertical="center" wrapText="1"/>
    </xf>
    <xf numFmtId="1" fontId="5" fillId="0" borderId="1" xfId="0" applyNumberFormat="1" applyFont="1" applyBorder="1" applyAlignment="1">
      <alignment horizontal="center" vertical="top"/>
    </xf>
    <xf numFmtId="1" fontId="5" fillId="0" borderId="2" xfId="0" applyNumberFormat="1" applyFont="1" applyBorder="1" applyAlignment="1">
      <alignment horizontal="center" vertical="top"/>
    </xf>
    <xf numFmtId="0" fontId="10" fillId="9" borderId="2" xfId="0" applyFont="1" applyFill="1" applyBorder="1" applyAlignment="1">
      <alignment horizontal="justify" vertical="justify" wrapText="1"/>
    </xf>
    <xf numFmtId="0" fontId="6" fillId="9" borderId="0" xfId="0" applyFont="1" applyFill="1" applyAlignment="1">
      <alignment horizontal="left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164" fontId="5" fillId="0" borderId="19" xfId="0" applyNumberFormat="1" applyFont="1" applyBorder="1" applyAlignment="1">
      <alignment horizontal="center" vertical="center"/>
    </xf>
    <xf numFmtId="164" fontId="5" fillId="0" borderId="21" xfId="0" applyNumberFormat="1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 wrapText="1"/>
    </xf>
    <xf numFmtId="164" fontId="5" fillId="0" borderId="20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4" fontId="10" fillId="9" borderId="8" xfId="0" applyNumberFormat="1" applyFont="1" applyFill="1" applyBorder="1" applyAlignment="1">
      <alignment horizontal="center"/>
    </xf>
    <xf numFmtId="0" fontId="39" fillId="0" borderId="0" xfId="0" applyFont="1" applyAlignment="1">
      <alignment horizontal="justify" vertical="top" wrapText="1"/>
    </xf>
    <xf numFmtId="0" fontId="38" fillId="0" borderId="0" xfId="0" applyFont="1" applyAlignment="1">
      <alignment horizontal="left" vertical="center" wrapText="1"/>
    </xf>
    <xf numFmtId="0" fontId="38" fillId="0" borderId="0" xfId="0" applyFont="1" applyAlignment="1">
      <alignment horizontal="center" vertical="center"/>
    </xf>
    <xf numFmtId="0" fontId="38" fillId="0" borderId="0" xfId="0" applyFont="1" applyAlignment="1">
      <alignment vertical="top" wrapText="1"/>
    </xf>
    <xf numFmtId="0" fontId="38" fillId="0" borderId="0" xfId="0" applyFont="1" applyAlignment="1">
      <alignment horizontal="left" vertical="top" wrapText="1"/>
    </xf>
    <xf numFmtId="0" fontId="36" fillId="38" borderId="37" xfId="0" applyFont="1" applyFill="1" applyBorder="1" applyAlignment="1">
      <alignment horizontal="center" vertical="center"/>
    </xf>
    <xf numFmtId="0" fontId="42" fillId="37" borderId="41" xfId="51" applyFont="1" applyFill="1" applyBorder="1" applyAlignment="1">
      <alignment horizontal="left" vertical="center"/>
    </xf>
    <xf numFmtId="0" fontId="47" fillId="0" borderId="0" xfId="0" applyFont="1" applyAlignment="1">
      <alignment horizontal="left" vertical="top" wrapText="1"/>
    </xf>
    <xf numFmtId="0" fontId="42" fillId="34" borderId="42" xfId="51" applyFont="1" applyFill="1" applyBorder="1" applyAlignment="1">
      <alignment horizontal="left" vertical="center"/>
    </xf>
    <xf numFmtId="0" fontId="46" fillId="38" borderId="0" xfId="49" applyFont="1" applyFill="1" applyAlignment="1">
      <alignment horizontal="center" vertical="center"/>
    </xf>
    <xf numFmtId="0" fontId="36" fillId="38" borderId="0" xfId="49" applyFont="1" applyFill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0" fontId="38" fillId="0" borderId="31" xfId="49" applyFont="1" applyBorder="1" applyAlignment="1">
      <alignment horizontal="center" vertical="center"/>
    </xf>
    <xf numFmtId="0" fontId="78" fillId="0" borderId="31" xfId="80" applyBorder="1" applyAlignment="1">
      <alignment horizontal="left" vertical="center"/>
    </xf>
    <xf numFmtId="0" fontId="38" fillId="0" borderId="31" xfId="49" applyFont="1" applyBorder="1" applyAlignment="1">
      <alignment horizontal="left" vertical="center"/>
    </xf>
    <xf numFmtId="0" fontId="63" fillId="0" borderId="31" xfId="0" applyFont="1" applyBorder="1" applyAlignment="1">
      <alignment horizontal="center" vertical="center"/>
    </xf>
    <xf numFmtId="0" fontId="72" fillId="0" borderId="31" xfId="0" applyFont="1" applyBorder="1" applyAlignment="1">
      <alignment horizontal="center" vertical="center" wrapText="1"/>
    </xf>
    <xf numFmtId="3" fontId="0" fillId="0" borderId="55" xfId="0" applyNumberFormat="1" applyBorder="1" applyAlignment="1">
      <alignment horizontal="center" vertical="center"/>
    </xf>
    <xf numFmtId="3" fontId="0" fillId="0" borderId="76" xfId="0" applyNumberFormat="1" applyBorder="1" applyAlignment="1">
      <alignment horizontal="center" vertical="center"/>
    </xf>
    <xf numFmtId="3" fontId="0" fillId="0" borderId="77" xfId="0" applyNumberFormat="1" applyBorder="1" applyAlignment="1">
      <alignment horizontal="center" vertical="center"/>
    </xf>
    <xf numFmtId="0" fontId="36" fillId="49" borderId="58" xfId="49" applyFont="1" applyFill="1" applyBorder="1" applyAlignment="1">
      <alignment horizontal="center" vertical="center" wrapText="1"/>
    </xf>
    <xf numFmtId="0" fontId="36" fillId="49" borderId="61" xfId="49" applyFont="1" applyFill="1" applyBorder="1" applyAlignment="1">
      <alignment horizontal="center" vertical="center" wrapText="1"/>
    </xf>
    <xf numFmtId="0" fontId="36" fillId="49" borderId="59" xfId="49" applyFont="1" applyFill="1" applyBorder="1" applyAlignment="1">
      <alignment horizontal="center" vertical="center" wrapText="1"/>
    </xf>
    <xf numFmtId="0" fontId="36" fillId="49" borderId="48" xfId="49" applyFont="1" applyFill="1" applyBorder="1" applyAlignment="1">
      <alignment horizontal="center" vertical="center" wrapText="1"/>
    </xf>
    <xf numFmtId="0" fontId="0" fillId="0" borderId="62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36" fillId="49" borderId="37" xfId="51" applyFont="1" applyFill="1" applyBorder="1" applyAlignment="1">
      <alignment horizontal="center" vertical="center" wrapText="1"/>
    </xf>
    <xf numFmtId="3" fontId="42" fillId="34" borderId="44" xfId="51" applyNumberFormat="1" applyFont="1" applyFill="1" applyBorder="1" applyAlignment="1">
      <alignment horizontal="center" vertical="center" wrapText="1"/>
    </xf>
    <xf numFmtId="3" fontId="42" fillId="34" borderId="43" xfId="51" applyNumberFormat="1" applyFont="1" applyFill="1" applyBorder="1" applyAlignment="1">
      <alignment horizontal="center" vertical="center" wrapText="1"/>
    </xf>
    <xf numFmtId="0" fontId="38" fillId="0" borderId="0" xfId="51" applyFont="1" applyAlignment="1">
      <alignment horizontal="center" wrapText="1"/>
    </xf>
    <xf numFmtId="3" fontId="47" fillId="55" borderId="42" xfId="51" applyNumberFormat="1" applyFont="1" applyFill="1" applyBorder="1" applyAlignment="1">
      <alignment horizontal="center" vertical="center"/>
    </xf>
    <xf numFmtId="3" fontId="47" fillId="55" borderId="44" xfId="51" applyNumberFormat="1" applyFont="1" applyFill="1" applyBorder="1" applyAlignment="1">
      <alignment horizontal="center" vertical="center"/>
    </xf>
    <xf numFmtId="3" fontId="47" fillId="55" borderId="0" xfId="51" applyNumberFormat="1" applyFont="1" applyFill="1" applyAlignment="1">
      <alignment horizontal="center" vertical="center"/>
    </xf>
    <xf numFmtId="3" fontId="47" fillId="55" borderId="43" xfId="51" applyNumberFormat="1" applyFont="1" applyFill="1" applyBorder="1" applyAlignment="1">
      <alignment horizontal="center" vertical="center"/>
    </xf>
    <xf numFmtId="0" fontId="39" fillId="0" borderId="0" xfId="51" applyFont="1" applyAlignment="1">
      <alignment horizontal="center"/>
    </xf>
    <xf numFmtId="0" fontId="39" fillId="0" borderId="37" xfId="51" applyFont="1" applyBorder="1" applyAlignment="1">
      <alignment horizontal="center"/>
    </xf>
    <xf numFmtId="3" fontId="42" fillId="34" borderId="42" xfId="51" applyNumberFormat="1" applyFont="1" applyFill="1" applyBorder="1" applyAlignment="1">
      <alignment horizontal="left" vertical="center"/>
    </xf>
    <xf numFmtId="0" fontId="36" fillId="51" borderId="41" xfId="51" applyFont="1" applyFill="1" applyBorder="1" applyAlignment="1">
      <alignment horizontal="center" vertical="center"/>
    </xf>
    <xf numFmtId="0" fontId="38" fillId="0" borderId="0" xfId="51" applyFont="1" applyAlignment="1">
      <alignment horizontal="center" vertical="center" wrapText="1"/>
    </xf>
    <xf numFmtId="3" fontId="42" fillId="34" borderId="44" xfId="51" applyNumberFormat="1" applyFont="1" applyFill="1" applyBorder="1" applyAlignment="1">
      <alignment horizontal="center" vertical="center"/>
    </xf>
    <xf numFmtId="3" fontId="42" fillId="34" borderId="43" xfId="51" applyNumberFormat="1" applyFont="1" applyFill="1" applyBorder="1" applyAlignment="1">
      <alignment horizontal="center" vertical="center"/>
    </xf>
    <xf numFmtId="0" fontId="81" fillId="49" borderId="4" xfId="0" applyFont="1" applyFill="1" applyBorder="1" applyAlignment="1">
      <alignment horizontal="center" vertical="center"/>
    </xf>
    <xf numFmtId="0" fontId="38" fillId="0" borderId="68" xfId="49" applyFont="1" applyBorder="1" applyAlignment="1">
      <alignment horizontal="center"/>
    </xf>
    <xf numFmtId="0" fontId="38" fillId="0" borderId="9" xfId="49" applyFont="1" applyBorder="1" applyAlignment="1">
      <alignment horizontal="center"/>
    </xf>
    <xf numFmtId="0" fontId="38" fillId="0" borderId="69" xfId="49" applyFont="1" applyBorder="1" applyAlignment="1">
      <alignment horizontal="center"/>
    </xf>
    <xf numFmtId="0" fontId="35" fillId="49" borderId="32" xfId="0" applyFont="1" applyFill="1" applyBorder="1" applyAlignment="1">
      <alignment horizontal="center" vertical="center" wrapText="1"/>
    </xf>
    <xf numFmtId="0" fontId="35" fillId="49" borderId="37" xfId="0" applyFont="1" applyFill="1" applyBorder="1" applyAlignment="1">
      <alignment horizontal="center" vertical="center" wrapText="1"/>
    </xf>
    <xf numFmtId="0" fontId="35" fillId="49" borderId="0" xfId="0" applyFont="1" applyFill="1" applyAlignment="1">
      <alignment horizontal="center" vertical="center" wrapText="1"/>
    </xf>
    <xf numFmtId="0" fontId="35" fillId="49" borderId="43" xfId="0" applyFont="1" applyFill="1" applyBorder="1" applyAlignment="1">
      <alignment horizontal="center" vertical="center" wrapText="1"/>
    </xf>
    <xf numFmtId="0" fontId="35" fillId="49" borderId="35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68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38" fillId="0" borderId="37" xfId="0" applyFont="1" applyBorder="1" applyAlignment="1">
      <alignment horizontal="center" vertical="center"/>
    </xf>
    <xf numFmtId="0" fontId="35" fillId="49" borderId="53" xfId="0" applyFont="1" applyFill="1" applyBorder="1" applyAlignment="1">
      <alignment horizontal="center" vertical="center" wrapText="1"/>
    </xf>
    <xf numFmtId="0" fontId="35" fillId="49" borderId="64" xfId="0" applyFont="1" applyFill="1" applyBorder="1" applyAlignment="1">
      <alignment horizontal="center" vertical="center" wrapText="1"/>
    </xf>
    <xf numFmtId="0" fontId="36" fillId="38" borderId="0" xfId="45" applyFont="1" applyFill="1" applyAlignment="1">
      <alignment horizontal="left" vertical="center" wrapText="1"/>
    </xf>
    <xf numFmtId="0" fontId="39" fillId="0" borderId="0" xfId="45" applyFont="1" applyAlignment="1">
      <alignment horizontal="left" vertical="center" wrapText="1"/>
    </xf>
    <xf numFmtId="1" fontId="43" fillId="0" borderId="0" xfId="45" applyNumberFormat="1" applyFont="1" applyAlignment="1">
      <alignment horizontal="left" vertical="top" wrapText="1"/>
    </xf>
    <xf numFmtId="1" fontId="43" fillId="0" borderId="0" xfId="45" applyNumberFormat="1" applyFont="1" applyAlignment="1">
      <alignment horizontal="left" vertical="top"/>
    </xf>
    <xf numFmtId="0" fontId="38" fillId="0" borderId="0" xfId="45" applyFont="1" applyAlignment="1">
      <alignment horizontal="center" vertical="center" wrapText="1"/>
    </xf>
    <xf numFmtId="4" fontId="35" fillId="49" borderId="37" xfId="45" applyNumberFormat="1" applyFont="1" applyFill="1" applyBorder="1" applyAlignment="1">
      <alignment horizontal="center" vertical="center" wrapText="1"/>
    </xf>
    <xf numFmtId="0" fontId="52" fillId="49" borderId="0" xfId="45" applyFont="1" applyFill="1" applyAlignment="1">
      <alignment horizontal="left" vertical="center" wrapText="1"/>
    </xf>
    <xf numFmtId="0" fontId="44" fillId="0" borderId="0" xfId="45" applyFont="1" applyAlignment="1">
      <alignment horizontal="left" vertical="top" wrapText="1"/>
    </xf>
    <xf numFmtId="0" fontId="44" fillId="0" borderId="0" xfId="45" applyFont="1" applyAlignment="1">
      <alignment horizontal="justify" vertical="top" wrapText="1"/>
    </xf>
    <xf numFmtId="0" fontId="38" fillId="0" borderId="31" xfId="45" applyFont="1" applyBorder="1" applyAlignment="1">
      <alignment horizontal="center" vertical="center" wrapText="1"/>
    </xf>
    <xf numFmtId="0" fontId="44" fillId="0" borderId="31" xfId="45" applyFont="1" applyBorder="1" applyAlignment="1">
      <alignment horizontal="justify" vertical="top" wrapText="1"/>
    </xf>
    <xf numFmtId="0" fontId="44" fillId="0" borderId="31" xfId="45" applyFont="1" applyBorder="1" applyAlignment="1">
      <alignment horizontal="left" vertical="top" wrapText="1"/>
    </xf>
    <xf numFmtId="0" fontId="43" fillId="0" borderId="0" xfId="45" applyFont="1" applyAlignment="1">
      <alignment horizontal="center" vertical="center"/>
    </xf>
    <xf numFmtId="0" fontId="38" fillId="0" borderId="33" xfId="45" applyFont="1" applyBorder="1" applyAlignment="1">
      <alignment horizontal="center" vertical="center" wrapText="1"/>
    </xf>
    <xf numFmtId="0" fontId="38" fillId="0" borderId="35" xfId="45" applyFont="1" applyBorder="1" applyAlignment="1">
      <alignment horizontal="center" vertical="center" wrapText="1"/>
    </xf>
    <xf numFmtId="0" fontId="55" fillId="49" borderId="0" xfId="49" applyFont="1" applyFill="1" applyAlignment="1">
      <alignment horizontal="left" vertical="center"/>
    </xf>
    <xf numFmtId="0" fontId="55" fillId="49" borderId="0" xfId="49" applyFont="1" applyFill="1" applyAlignment="1">
      <alignment horizontal="right" vertical="center"/>
    </xf>
    <xf numFmtId="0" fontId="57" fillId="40" borderId="33" xfId="0" applyFont="1" applyFill="1" applyBorder="1" applyAlignment="1">
      <alignment horizontal="center" vertical="center" wrapText="1"/>
    </xf>
    <xf numFmtId="0" fontId="57" fillId="40" borderId="35" xfId="0" applyFont="1" applyFill="1" applyBorder="1" applyAlignment="1">
      <alignment horizontal="center" vertical="center" wrapText="1"/>
    </xf>
    <xf numFmtId="0" fontId="57" fillId="40" borderId="34" xfId="0" applyFont="1" applyFill="1" applyBorder="1" applyAlignment="1">
      <alignment horizontal="center" vertical="center" wrapText="1"/>
    </xf>
    <xf numFmtId="0" fontId="55" fillId="49" borderId="0" xfId="0" applyFont="1" applyFill="1" applyAlignment="1">
      <alignment horizontal="center" vertical="center" wrapText="1"/>
    </xf>
    <xf numFmtId="0" fontId="57" fillId="40" borderId="53" xfId="0" applyFont="1" applyFill="1" applyBorder="1" applyAlignment="1">
      <alignment horizontal="center" vertical="center" wrapText="1"/>
    </xf>
    <xf numFmtId="0" fontId="57" fillId="40" borderId="37" xfId="0" applyFont="1" applyFill="1" applyBorder="1" applyAlignment="1">
      <alignment horizontal="center" vertical="center" wrapText="1"/>
    </xf>
    <xf numFmtId="10" fontId="55" fillId="49" borderId="0" xfId="34" applyNumberFormat="1" applyFont="1" applyFill="1" applyAlignment="1">
      <alignment horizontal="center" vertical="center" wrapText="1"/>
    </xf>
    <xf numFmtId="0" fontId="57" fillId="40" borderId="32" xfId="0" applyFont="1" applyFill="1" applyBorder="1" applyAlignment="1">
      <alignment horizontal="center" vertical="center" wrapText="1"/>
    </xf>
    <xf numFmtId="0" fontId="57" fillId="40" borderId="52" xfId="0" applyFont="1" applyFill="1" applyBorder="1" applyAlignment="1">
      <alignment horizontal="center" vertical="center" wrapText="1"/>
    </xf>
    <xf numFmtId="0" fontId="57" fillId="40" borderId="54" xfId="0" applyFont="1" applyFill="1" applyBorder="1" applyAlignment="1">
      <alignment horizontal="center" vertical="center" wrapText="1"/>
    </xf>
    <xf numFmtId="0" fontId="57" fillId="40" borderId="31" xfId="0" applyFont="1" applyFill="1" applyBorder="1" applyAlignment="1">
      <alignment horizontal="center" vertical="center"/>
    </xf>
  </cellXfs>
  <cellStyles count="81">
    <cellStyle name="20% - Ênfase1" xfId="1" builtinId="30" customBuiltin="1"/>
    <cellStyle name="20% - Ênfase1 2" xfId="61" xr:uid="{00000000-0005-0000-0000-000001000000}"/>
    <cellStyle name="20% - Ênfase2" xfId="2" builtinId="34" customBuiltin="1"/>
    <cellStyle name="20% - Ênfase2 2" xfId="62" xr:uid="{00000000-0005-0000-0000-000003000000}"/>
    <cellStyle name="20% - Ênfase3" xfId="3" builtinId="38" customBuiltin="1"/>
    <cellStyle name="20% - Ênfase3 2" xfId="63" xr:uid="{00000000-0005-0000-0000-000005000000}"/>
    <cellStyle name="20% - Ênfase4" xfId="4" builtinId="42" customBuiltin="1"/>
    <cellStyle name="20% - Ênfase4 2" xfId="64" xr:uid="{00000000-0005-0000-0000-000007000000}"/>
    <cellStyle name="20% - Ênfase5" xfId="5" builtinId="46" customBuiltin="1"/>
    <cellStyle name="20% - Ênfase5 2" xfId="56" xr:uid="{00000000-0005-0000-0000-000009000000}"/>
    <cellStyle name="20% - Ênfase6" xfId="6" builtinId="50" customBuiltin="1"/>
    <cellStyle name="20% - Ênfase6 2" xfId="58" xr:uid="{00000000-0005-0000-0000-00000B000000}"/>
    <cellStyle name="40% - Ênfase1" xfId="7" builtinId="31" customBuiltin="1"/>
    <cellStyle name="40% - Ênfase1 2" xfId="53" xr:uid="{00000000-0005-0000-0000-00000D000000}"/>
    <cellStyle name="40% - Ênfase2" xfId="8" builtinId="35" customBuiltin="1"/>
    <cellStyle name="40% - Ênfase2 2" xfId="54" xr:uid="{00000000-0005-0000-0000-00000F000000}"/>
    <cellStyle name="40% - Ênfase3" xfId="9" builtinId="39" customBuiltin="1"/>
    <cellStyle name="40% - Ênfase3 2" xfId="65" xr:uid="{00000000-0005-0000-0000-000011000000}"/>
    <cellStyle name="40% - Ênfase4" xfId="10" builtinId="43" customBuiltin="1"/>
    <cellStyle name="40% - Ênfase4 2" xfId="55" xr:uid="{00000000-0005-0000-0000-000013000000}"/>
    <cellStyle name="40% - Ênfase5" xfId="11" builtinId="47" customBuiltin="1"/>
    <cellStyle name="40% - Ênfase5 2" xfId="57" xr:uid="{00000000-0005-0000-0000-000015000000}"/>
    <cellStyle name="40% - Ênfase6" xfId="12" builtinId="51" customBuiltin="1"/>
    <cellStyle name="40% - Ênfase6 2" xfId="59" xr:uid="{00000000-0005-0000-0000-000017000000}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3 2" xfId="66" xr:uid="{00000000-0005-0000-0000-00001B000000}"/>
    <cellStyle name="60% - Ênfase4" xfId="16" builtinId="44" customBuiltin="1"/>
    <cellStyle name="60% - Ênfase4 2" xfId="67" xr:uid="{00000000-0005-0000-0000-00001D000000}"/>
    <cellStyle name="60% - Ênfase5" xfId="17" builtinId="48" customBuiltin="1"/>
    <cellStyle name="60% - Ênfase6" xfId="18" builtinId="52" customBuiltin="1"/>
    <cellStyle name="60% - Ênfase6 2" xfId="68" xr:uid="{00000000-0005-0000-0000-000020000000}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Hiperlink" xfId="80" builtinId="8"/>
    <cellStyle name="Moeda" xfId="79" builtinId="4"/>
    <cellStyle name="Neutro" xfId="31" builtinId="28" customBuiltin="1"/>
    <cellStyle name="Normal" xfId="0" builtinId="0"/>
    <cellStyle name="Normal 2" xfId="32" xr:uid="{00000000-0005-0000-0000-00002F000000}"/>
    <cellStyle name="Normal 2 2" xfId="69" xr:uid="{00000000-0005-0000-0000-000030000000}"/>
    <cellStyle name="Normal 3" xfId="45" xr:uid="{00000000-0005-0000-0000-000031000000}"/>
    <cellStyle name="Normal 3 2" xfId="73" xr:uid="{00000000-0005-0000-0000-000032000000}"/>
    <cellStyle name="Normal 4" xfId="49" xr:uid="{00000000-0005-0000-0000-000033000000}"/>
    <cellStyle name="Normal 4 2" xfId="77" xr:uid="{00000000-0005-0000-0000-000034000000}"/>
    <cellStyle name="Normal 5" xfId="51" xr:uid="{00000000-0005-0000-0000-000035000000}"/>
    <cellStyle name="Normal 6" xfId="60" xr:uid="{00000000-0005-0000-0000-000036000000}"/>
    <cellStyle name="Normal 7" xfId="52" xr:uid="{00000000-0005-0000-0000-000037000000}"/>
    <cellStyle name="Nota 2" xfId="33" xr:uid="{00000000-0005-0000-0000-000038000000}"/>
    <cellStyle name="Porcentagem" xfId="34" builtinId="5"/>
    <cellStyle name="Porcentagem 2" xfId="46" xr:uid="{00000000-0005-0000-0000-00003A000000}"/>
    <cellStyle name="Porcentagem 2 2" xfId="74" xr:uid="{00000000-0005-0000-0000-00003B000000}"/>
    <cellStyle name="Porcentagem 3" xfId="50" xr:uid="{00000000-0005-0000-0000-00003C000000}"/>
    <cellStyle name="Porcentagem 3 2" xfId="78" xr:uid="{00000000-0005-0000-0000-00003D000000}"/>
    <cellStyle name="Porcentagem 4" xfId="70" xr:uid="{00000000-0005-0000-0000-00003E000000}"/>
    <cellStyle name="Ruim" xfId="30" builtinId="27" customBuiltin="1"/>
    <cellStyle name="Saída" xfId="35" builtinId="21" customBuiltin="1"/>
    <cellStyle name="Separador de milhares 2" xfId="48" xr:uid="{00000000-0005-0000-0000-000040000000}"/>
    <cellStyle name="Separador de milhares 2 2" xfId="76" xr:uid="{00000000-0005-0000-0000-000041000000}"/>
    <cellStyle name="Texto de Aviso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ítulo 4" xfId="43" builtinId="19" customBuiltin="1"/>
    <cellStyle name="Título 5" xfId="72" xr:uid="{00000000-0005-0000-0000-000049000000}"/>
    <cellStyle name="Total" xfId="44" builtinId="25" customBuiltin="1"/>
    <cellStyle name="Vírgula" xfId="36" builtinId="3"/>
    <cellStyle name="Vírgula 2" xfId="47" xr:uid="{00000000-0005-0000-0000-00004C000000}"/>
    <cellStyle name="Vírgula 2 2" xfId="75" xr:uid="{00000000-0005-0000-0000-00004D000000}"/>
    <cellStyle name="Vírgula 3" xfId="71" xr:uid="{00000000-0005-0000-0000-00004E000000}"/>
  </cellStyles>
  <dxfs count="3">
    <dxf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A0E8E6"/>
      <color rgb="FFFFCC99"/>
      <color rgb="FFC6E6A2"/>
      <color rgb="FF81E1DF"/>
      <color rgb="FFFFFF99"/>
      <color rgb="FFF48E56"/>
      <color rgb="FF00CCA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Relationship Id="rId35" Type="http://schemas.openxmlformats.org/officeDocument/2006/relationships/customXml" Target="../customXml/item3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297180</xdr:colOff>
      <xdr:row>7</xdr:row>
      <xdr:rowOff>175260</xdr:rowOff>
    </xdr:from>
    <xdr:to>
      <xdr:col>6</xdr:col>
      <xdr:colOff>322</xdr:colOff>
      <xdr:row>13</xdr:row>
      <xdr:rowOff>498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4903042-6397-4A6A-8EA4-C9B5E3E1DC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3140" y="1455420"/>
          <a:ext cx="2107252" cy="92251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2819400</xdr:colOff>
      <xdr:row>0</xdr:row>
      <xdr:rowOff>19050</xdr:rowOff>
    </xdr:from>
    <xdr:to>
      <xdr:col>2</xdr:col>
      <xdr:colOff>152400</xdr:colOff>
      <xdr:row>8</xdr:row>
      <xdr:rowOff>142875</xdr:rowOff>
    </xdr:to>
    <xdr:pic>
      <xdr:nvPicPr>
        <xdr:cNvPr id="12930" name="Imagem 1" descr="brasão_rj.JPG">
          <a:extLst>
            <a:ext uri="{FF2B5EF4-FFF2-40B4-BE49-F238E27FC236}">
              <a16:creationId xmlns:a16="http://schemas.microsoft.com/office/drawing/2014/main" id="{00000000-0008-0000-0100-0000823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3248025" y="19050"/>
          <a:ext cx="1123950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904875</xdr:colOff>
      <xdr:row>1</xdr:row>
      <xdr:rowOff>28575</xdr:rowOff>
    </xdr:from>
    <xdr:to>
      <xdr:col>3</xdr:col>
      <xdr:colOff>66675</xdr:colOff>
      <xdr:row>8</xdr:row>
      <xdr:rowOff>19050</xdr:rowOff>
    </xdr:to>
    <xdr:pic>
      <xdr:nvPicPr>
        <xdr:cNvPr id="20083" name="Imagem 1" descr="brasão_rj.JPG">
          <a:extLst>
            <a:ext uri="{FF2B5EF4-FFF2-40B4-BE49-F238E27FC236}">
              <a16:creationId xmlns:a16="http://schemas.microsoft.com/office/drawing/2014/main" id="{00000000-0008-0000-0200-0000734E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5667375" y="190500"/>
          <a:ext cx="895350" cy="1123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64702</xdr:colOff>
      <xdr:row>3</xdr:row>
      <xdr:rowOff>57150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C26C963-F695-4C3B-9E7D-3E0A266431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2957" cy="59626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325755</xdr:colOff>
      <xdr:row>2</xdr:row>
      <xdr:rowOff>2559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72605A2-BAF1-45A9-8553-7E37A62B7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600076</xdr:colOff>
      <xdr:row>2</xdr:row>
      <xdr:rowOff>228600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A10ADF5-0B32-4DC3-949E-A3F24507D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356360" cy="73152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0</xdr:row>
      <xdr:rowOff>38101</xdr:rowOff>
    </xdr:from>
    <xdr:to>
      <xdr:col>2</xdr:col>
      <xdr:colOff>227215</xdr:colOff>
      <xdr:row>1</xdr:row>
      <xdr:rowOff>125731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83E60E-07F7-48A5-A457-6D6D8B8E6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6" y="38101"/>
          <a:ext cx="1455939" cy="63055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78217</xdr:colOff>
      <xdr:row>2</xdr:row>
      <xdr:rowOff>179294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F0087A7-35BB-4C38-92BF-98A27A4ADD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62946" cy="68131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23445</xdr:colOff>
      <xdr:row>0</xdr:row>
      <xdr:rowOff>0</xdr:rowOff>
    </xdr:from>
    <xdr:to>
      <xdr:col>1</xdr:col>
      <xdr:colOff>58322</xdr:colOff>
      <xdr:row>2</xdr:row>
      <xdr:rowOff>50623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B9B7FDD-D04E-4DC7-A16B-88913FE55A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45" y="0"/>
          <a:ext cx="1156482" cy="48818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23445</xdr:colOff>
      <xdr:row>0</xdr:row>
      <xdr:rowOff>17584</xdr:rowOff>
    </xdr:from>
    <xdr:to>
      <xdr:col>1</xdr:col>
      <xdr:colOff>72121</xdr:colOff>
      <xdr:row>2</xdr:row>
      <xdr:rowOff>29307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2D8F6A3-7393-487A-A404-C0DAA0DCFF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45" y="17584"/>
          <a:ext cx="1144784" cy="47478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1166456</xdr:colOff>
      <xdr:row>2</xdr:row>
      <xdr:rowOff>16760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E25474F-4327-4AF7-A8EE-4380CCA7A5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85106</xdr:colOff>
      <xdr:row>0</xdr:row>
      <xdr:rowOff>79663</xdr:rowOff>
    </xdr:from>
    <xdr:to>
      <xdr:col>0</xdr:col>
      <xdr:colOff>1225335</xdr:colOff>
      <xdr:row>2</xdr:row>
      <xdr:rowOff>55552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4911D04-5E2B-4DC5-A795-42B4E48A4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106" y="79663"/>
          <a:ext cx="1140229" cy="47663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1122045</xdr:colOff>
      <xdr:row>1</xdr:row>
      <xdr:rowOff>244494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1C05EF1-D761-4128-B034-EDF3BC31C2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8646</xdr:colOff>
      <xdr:row>1</xdr:row>
      <xdr:rowOff>244934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EFEF6FE-5385-4DDE-8BF6-3708733A27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57150</xdr:colOff>
      <xdr:row>1</xdr:row>
      <xdr:rowOff>57804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7D6BE01D-0940-4785-92A4-FCD6C892B4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130661</xdr:colOff>
      <xdr:row>1</xdr:row>
      <xdr:rowOff>53434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099C775-97EE-4418-A0A4-F7FDDB801D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9361" cy="49158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131445</xdr:colOff>
      <xdr:row>1</xdr:row>
      <xdr:rowOff>57804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962B3F7-C64E-4705-8CA4-7BFD3BC627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135255</xdr:colOff>
      <xdr:row>1</xdr:row>
      <xdr:rowOff>53994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B946C9F-AFDE-4615-B48B-875A831AF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131445</xdr:colOff>
      <xdr:row>1</xdr:row>
      <xdr:rowOff>57804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7DB16B9-78D3-4995-8367-9B80143FC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135255</xdr:colOff>
      <xdr:row>1</xdr:row>
      <xdr:rowOff>53994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7CE91C9-C1D2-4C50-9C6E-E1957A77E3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135255</xdr:colOff>
      <xdr:row>1</xdr:row>
      <xdr:rowOff>53994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EC04E89-978A-48AD-A953-0988E93EEC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133184</xdr:colOff>
      <xdr:row>0</xdr:row>
      <xdr:rowOff>497196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C89BA44-6527-40FE-8C64-93B157933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135255</xdr:colOff>
      <xdr:row>1</xdr:row>
      <xdr:rowOff>53994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FFA6D5ED-5AE5-4428-AA96-EE9ED1DA61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59055</xdr:colOff>
      <xdr:row>1</xdr:row>
      <xdr:rowOff>57804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4984E0B-0A51-4026-A4B0-EFD4A386D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226695</xdr:colOff>
      <xdr:row>1</xdr:row>
      <xdr:rowOff>96597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6056EAB-8D8C-4C5E-AC3E-EBD78699F4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248434</xdr:colOff>
      <xdr:row>2</xdr:row>
      <xdr:rowOff>53434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DD5DE76-43AC-4C5C-A304-083CD5A619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../../../../../Users/Adriano%20Ferreira/Desktop/Planilhas%20PROTRATAR/Composi&#231;&#227;o%20dos%20custos_SAA.xlsx" TargetMode="External"/><Relationship Id="rId2" Type="http://schemas.openxmlformats.org/officeDocument/2006/relationships/externalLinkPath" Target="file:///C:\Users\Adriano%20Ferreira\Desktop\Planilhas%20PROTRATAR\Composi&#231;&#227;o%20dos%20custos_SAA.xlsx" TargetMode="External"/><Relationship Id="rId1" Type="http://schemas.openxmlformats.org/officeDocument/2006/relationships/externalLinkPath" Target="/Users/Adriano%20Ferreira/Desktop/Planilhas%20PROTRATAR/Composi&#231;&#227;o%20dos%20custos_SA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Capa"/>
      <sheetName val="Orç_20-30"/>
      <sheetName val="Crono_20-30"/>
      <sheetName val="Definições"/>
      <sheetName val="Dados básicos do município"/>
      <sheetName val="Dias trabalhados"/>
      <sheetName val="Reajuste"/>
      <sheetName val="Deslocamento"/>
      <sheetName val="Veículo"/>
      <sheetName val="Topografia e cadastro"/>
      <sheetName val="Matriz de produtividade"/>
      <sheetName val="Custos"/>
      <sheetName val="Horas- trabalhadas "/>
      <sheetName val="Serviços"/>
      <sheetName val="K"/>
      <sheetName val="P1"/>
      <sheetName val="P2"/>
      <sheetName val="P3"/>
      <sheetName val="P4"/>
      <sheetName val="P5"/>
      <sheetName val="P6"/>
      <sheetName val="P7a"/>
      <sheetName val="P7b"/>
      <sheetName val="P8"/>
      <sheetName val="Consolidado"/>
      <sheetName val="CPP"/>
      <sheetName val="Cronogram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47">
          <cell r="B47" t="str">
            <v>Análise bacteriológica de água</v>
          </cell>
        </row>
        <row r="48">
          <cell r="B48" t="str">
            <v>Análise fisíco-química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sinaenco.com.br/indices/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s://portal.der.mg.gov.br/portal-servicos-frontend/login" TargetMode="External"/><Relationship Id="rId2" Type="http://schemas.openxmlformats.org/officeDocument/2006/relationships/hyperlink" Target="https://www2.copasa.com.br/servicos/portalTransparencia/obraservico/visao/opcaoFiltroServico.asp?modalidade=Servico" TargetMode="External"/><Relationship Id="rId1" Type="http://schemas.openxmlformats.org/officeDocument/2006/relationships/hyperlink" Target="https://www.gov.br/dnit/pt-br/assuntos/planejamento-e-pesquisa/custos-referenciais/engenharia-consultiva-2/tabela-de-precos-de-consultoria-1" TargetMode="External"/><Relationship Id="rId5" Type="http://schemas.openxmlformats.org/officeDocument/2006/relationships/drawing" Target="../drawings/drawing11.xml"/><Relationship Id="rId4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s://www.gov.br/ana/pt-br/acesso-a-informacao/licitacoes/portaria_ana_498_2024.pdf/view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  <pageSetUpPr fitToPage="1"/>
  </sheetPr>
  <dimension ref="A1:J144"/>
  <sheetViews>
    <sheetView showGridLines="0" view="pageBreakPreview" topLeftCell="A16" zoomScaleNormal="100" zoomScaleSheetLayoutView="100" zoomScalePageLayoutView="40" workbookViewId="0">
      <selection activeCell="E53" sqref="E53"/>
    </sheetView>
  </sheetViews>
  <sheetFormatPr defaultColWidth="8.85546875" defaultRowHeight="15.6"/>
  <cols>
    <col min="1" max="4" width="9.5703125" style="53" customWidth="1"/>
    <col min="5" max="5" width="16.28515625" style="53" customWidth="1"/>
    <col min="6" max="10" width="9.5703125" style="53" customWidth="1"/>
    <col min="11" max="16384" width="8.85546875" style="53"/>
  </cols>
  <sheetData>
    <row r="1" spans="1:9" ht="14.45" customHeight="1">
      <c r="A1" s="52"/>
      <c r="B1" s="52"/>
      <c r="C1" s="52"/>
      <c r="D1" s="52"/>
      <c r="E1" s="52"/>
      <c r="F1" s="52"/>
      <c r="G1" s="52"/>
      <c r="H1" s="52"/>
      <c r="I1" s="52"/>
    </row>
    <row r="2" spans="1:9" ht="14.45" customHeight="1"/>
    <row r="3" spans="1:9" ht="14.45" customHeight="1"/>
    <row r="4" spans="1:9" ht="14.45" customHeight="1"/>
    <row r="5" spans="1:9" ht="14.45" customHeight="1"/>
    <row r="6" spans="1:9" ht="14.45" customHeight="1"/>
    <row r="7" spans="1:9" ht="14.45" customHeight="1"/>
    <row r="8" spans="1:9" ht="14.45" customHeight="1"/>
    <row r="9" spans="1:9" ht="14.45" customHeight="1"/>
    <row r="10" spans="1:9" ht="14.45" customHeight="1"/>
    <row r="11" spans="1:9" ht="14.45" customHeight="1"/>
    <row r="12" spans="1:9" ht="14.45" customHeight="1"/>
    <row r="13" spans="1:9" ht="14.45" customHeight="1"/>
    <row r="14" spans="1:9" ht="14.45" customHeight="1"/>
    <row r="15" spans="1:9" ht="14.45" customHeight="1"/>
    <row r="16" spans="1:9" ht="14.45" customHeight="1"/>
    <row r="17" spans="1:10" ht="14.45" customHeight="1"/>
    <row r="18" spans="1:10" ht="14.45" customHeight="1"/>
    <row r="19" spans="1:10" ht="14.45" customHeight="1">
      <c r="A19" s="690" t="s">
        <v>0</v>
      </c>
      <c r="B19" s="690"/>
      <c r="C19" s="690"/>
      <c r="D19" s="690"/>
      <c r="E19" s="690"/>
      <c r="F19" s="690"/>
      <c r="G19" s="690"/>
      <c r="H19" s="690"/>
      <c r="I19" s="690"/>
      <c r="J19" s="690"/>
    </row>
    <row r="20" spans="1:10" ht="14.45" customHeight="1">
      <c r="A20" s="690"/>
      <c r="B20" s="690"/>
      <c r="C20" s="690"/>
      <c r="D20" s="690"/>
      <c r="E20" s="690"/>
      <c r="F20" s="690"/>
      <c r="G20" s="690"/>
      <c r="H20" s="690"/>
      <c r="I20" s="690"/>
      <c r="J20" s="690"/>
    </row>
    <row r="21" spans="1:10" ht="14.45" customHeight="1">
      <c r="A21" s="690"/>
      <c r="B21" s="690"/>
      <c r="C21" s="690"/>
      <c r="D21" s="690"/>
      <c r="E21" s="690"/>
      <c r="F21" s="690"/>
      <c r="G21" s="690"/>
      <c r="H21" s="690"/>
      <c r="I21" s="690"/>
      <c r="J21" s="690"/>
    </row>
    <row r="22" spans="1:10" ht="14.45" customHeight="1">
      <c r="A22" s="54"/>
      <c r="B22" s="54"/>
      <c r="C22" s="54"/>
      <c r="D22" s="54"/>
      <c r="E22" s="54"/>
      <c r="F22" s="54"/>
      <c r="G22" s="54"/>
      <c r="H22" s="54"/>
      <c r="I22" s="54"/>
      <c r="J22" s="54"/>
    </row>
    <row r="23" spans="1:10" ht="14.45" customHeight="1">
      <c r="A23" s="54"/>
      <c r="B23" s="54"/>
      <c r="C23" s="54"/>
      <c r="D23" s="54"/>
      <c r="E23" s="54"/>
      <c r="F23" s="54"/>
      <c r="G23" s="54"/>
      <c r="H23" s="54"/>
      <c r="I23" s="54"/>
      <c r="J23" s="54"/>
    </row>
    <row r="24" spans="1:10" ht="14.45" customHeight="1">
      <c r="A24" s="54"/>
      <c r="B24" s="54"/>
      <c r="C24" s="54"/>
      <c r="D24" s="54"/>
      <c r="E24" s="54"/>
      <c r="F24" s="54"/>
      <c r="G24" s="54"/>
      <c r="H24" s="54"/>
      <c r="I24" s="54"/>
      <c r="J24" s="54"/>
    </row>
    <row r="25" spans="1:10" ht="14.45" customHeight="1">
      <c r="A25" s="54"/>
      <c r="B25" s="689" t="s">
        <v>1</v>
      </c>
      <c r="C25" s="689"/>
      <c r="D25" s="689"/>
      <c r="E25" s="689"/>
      <c r="F25" s="689"/>
      <c r="G25" s="689"/>
      <c r="H25" s="689"/>
      <c r="I25" s="689"/>
      <c r="J25" s="54"/>
    </row>
    <row r="26" spans="1:10" ht="14.45" customHeight="1">
      <c r="A26" s="54"/>
      <c r="B26" s="689"/>
      <c r="C26" s="689"/>
      <c r="D26" s="689"/>
      <c r="E26" s="689"/>
      <c r="F26" s="689"/>
      <c r="G26" s="689"/>
      <c r="H26" s="689"/>
      <c r="I26" s="689"/>
      <c r="J26" s="54"/>
    </row>
    <row r="27" spans="1:10" ht="14.45" customHeight="1">
      <c r="A27" s="54"/>
      <c r="B27" s="54"/>
      <c r="C27" s="54"/>
      <c r="D27" s="54"/>
      <c r="E27" s="54"/>
      <c r="F27" s="54"/>
      <c r="G27" s="54"/>
      <c r="H27" s="54"/>
      <c r="I27" s="54"/>
      <c r="J27" s="54"/>
    </row>
    <row r="28" spans="1:10" ht="14.45" customHeight="1">
      <c r="A28" s="54"/>
      <c r="B28" s="54"/>
      <c r="C28" s="54"/>
      <c r="D28" s="54"/>
      <c r="E28" s="54"/>
      <c r="F28" s="54"/>
      <c r="G28" s="54"/>
      <c r="H28" s="54"/>
      <c r="I28" s="54"/>
      <c r="J28" s="54"/>
    </row>
    <row r="29" spans="1:10" ht="14.45" customHeight="1">
      <c r="A29" s="54"/>
      <c r="B29" s="54"/>
      <c r="C29" s="54"/>
      <c r="D29" s="54"/>
      <c r="E29" s="54"/>
      <c r="F29" s="54"/>
      <c r="G29" s="54"/>
      <c r="H29" s="54"/>
      <c r="I29" s="54"/>
      <c r="J29" s="54"/>
    </row>
    <row r="30" spans="1:10" ht="14.45" customHeight="1">
      <c r="A30" s="54"/>
      <c r="B30" s="689" t="s">
        <v>2</v>
      </c>
      <c r="C30" s="689"/>
      <c r="D30" s="689"/>
      <c r="E30" s="689"/>
      <c r="F30" s="689"/>
      <c r="G30" s="689"/>
      <c r="H30" s="689"/>
      <c r="I30" s="689"/>
      <c r="J30" s="54"/>
    </row>
    <row r="31" spans="1:10" ht="14.45" customHeight="1">
      <c r="A31" s="54"/>
      <c r="B31" s="689"/>
      <c r="C31" s="689"/>
      <c r="D31" s="689"/>
      <c r="E31" s="689"/>
      <c r="F31" s="689"/>
      <c r="G31" s="689"/>
      <c r="H31" s="689"/>
      <c r="I31" s="689"/>
      <c r="J31" s="54"/>
    </row>
    <row r="32" spans="1:10" ht="14.45" customHeight="1">
      <c r="A32" s="54"/>
      <c r="B32" s="54"/>
      <c r="C32" s="54"/>
      <c r="D32" s="54"/>
      <c r="E32" s="54"/>
      <c r="F32" s="54"/>
      <c r="G32" s="54"/>
      <c r="H32" s="54"/>
      <c r="I32" s="54"/>
      <c r="J32" s="54"/>
    </row>
    <row r="33" spans="1:10" ht="14.45" customHeight="1">
      <c r="A33" s="54"/>
      <c r="B33" s="54"/>
      <c r="C33" s="54"/>
      <c r="D33" s="54"/>
      <c r="E33" s="54"/>
      <c r="F33" s="54"/>
      <c r="G33" s="54"/>
      <c r="H33" s="54"/>
      <c r="I33" s="54"/>
      <c r="J33" s="54"/>
    </row>
    <row r="34" spans="1:10" ht="14.45" customHeight="1"/>
    <row r="35" spans="1:10" ht="14.45" customHeight="1">
      <c r="C35" s="668" t="s">
        <v>3</v>
      </c>
    </row>
    <row r="36" spans="1:10" ht="14.45" customHeight="1"/>
    <row r="37" spans="1:10" ht="14.45" customHeight="1">
      <c r="E37" s="52" t="s">
        <v>4</v>
      </c>
    </row>
    <row r="38" spans="1:10" ht="14.45" customHeight="1">
      <c r="E38" s="667" t="s">
        <v>5</v>
      </c>
    </row>
    <row r="39" spans="1:10" ht="14.45" customHeight="1">
      <c r="E39" s="667" t="s">
        <v>6</v>
      </c>
    </row>
    <row r="40" spans="1:10" ht="14.45" customHeight="1">
      <c r="E40" s="667"/>
    </row>
    <row r="41" spans="1:10" ht="14.45" customHeight="1">
      <c r="E41" s="52" t="s">
        <v>7</v>
      </c>
    </row>
    <row r="42" spans="1:10" ht="14.45" customHeight="1">
      <c r="E42" s="667" t="s">
        <v>8</v>
      </c>
    </row>
    <row r="43" spans="1:10" ht="14.45" customHeight="1">
      <c r="E43" s="667" t="s">
        <v>6</v>
      </c>
    </row>
    <row r="44" spans="1:10" ht="14.45" customHeight="1">
      <c r="F44" s="667"/>
    </row>
    <row r="45" spans="1:10" ht="14.45" customHeight="1">
      <c r="C45" s="668" t="s">
        <v>9</v>
      </c>
      <c r="F45" s="667"/>
    </row>
    <row r="46" spans="1:10" ht="14.45" customHeight="1"/>
    <row r="47" spans="1:10" ht="14.45" customHeight="1">
      <c r="E47" s="52" t="s">
        <v>10</v>
      </c>
    </row>
    <row r="48" spans="1:10" ht="14.45" customHeight="1">
      <c r="E48" s="667" t="s">
        <v>11</v>
      </c>
    </row>
    <row r="49" spans="4:8" ht="14.45" customHeight="1">
      <c r="E49" s="667" t="s">
        <v>6</v>
      </c>
    </row>
    <row r="50" spans="4:8" ht="14.45" customHeight="1"/>
    <row r="51" spans="4:8" ht="14.45" customHeight="1"/>
    <row r="52" spans="4:8" ht="14.45" customHeight="1"/>
    <row r="53" spans="4:8" ht="14.45" customHeight="1">
      <c r="D53" s="669"/>
      <c r="E53" s="669">
        <f ca="1">TODAY()</f>
        <v>46170</v>
      </c>
      <c r="F53" s="669"/>
      <c r="G53" s="669"/>
      <c r="H53" s="669"/>
    </row>
    <row r="54" spans="4:8" ht="14.45" customHeight="1"/>
    <row r="55" spans="4:8" ht="14.45" customHeight="1"/>
    <row r="56" spans="4:8" ht="14.45" customHeight="1"/>
    <row r="57" spans="4:8" ht="14.45" customHeight="1"/>
    <row r="58" spans="4:8" ht="14.45" customHeight="1"/>
    <row r="59" spans="4:8" ht="14.45" customHeight="1"/>
    <row r="60" spans="4:8" ht="14.45" customHeight="1"/>
    <row r="61" spans="4:8" ht="14.45" customHeight="1"/>
    <row r="62" spans="4:8" ht="14.45" customHeight="1"/>
    <row r="63" spans="4:8" ht="14.45" customHeight="1"/>
    <row r="64" spans="4:8" ht="14.45" customHeight="1"/>
    <row r="65" ht="14.45" customHeight="1"/>
    <row r="66" ht="14.45" customHeight="1"/>
    <row r="67" ht="14.45" customHeight="1"/>
    <row r="68" ht="14.45" customHeight="1"/>
    <row r="69" ht="14.45" customHeight="1"/>
    <row r="70" ht="14.45" customHeight="1"/>
    <row r="71" ht="14.45" customHeight="1"/>
    <row r="72" ht="14.45" customHeight="1"/>
    <row r="73" ht="14.45" customHeight="1"/>
    <row r="74" ht="14.45" customHeight="1"/>
    <row r="75" ht="14.45" customHeight="1"/>
    <row r="76" ht="14.45" customHeight="1"/>
    <row r="77" ht="14.45" customHeight="1"/>
    <row r="78" ht="14.45" customHeight="1"/>
    <row r="79" ht="14.45" customHeight="1"/>
    <row r="80" ht="14.45" customHeight="1"/>
    <row r="81" ht="14.45" customHeight="1"/>
    <row r="82" ht="14.45" customHeight="1"/>
    <row r="83" ht="14.45" customHeight="1"/>
    <row r="84" ht="14.45" customHeight="1"/>
    <row r="85" ht="14.45" customHeight="1"/>
    <row r="86" ht="14.45" customHeight="1"/>
    <row r="87" ht="14.45" customHeight="1"/>
    <row r="88" ht="14.45" customHeight="1"/>
    <row r="89" ht="14.45" customHeight="1"/>
    <row r="90" ht="14.45" customHeight="1"/>
    <row r="91" ht="14.45" customHeight="1"/>
    <row r="92" ht="14.45" customHeight="1"/>
    <row r="93" ht="14.45" customHeight="1"/>
    <row r="94" ht="14.45" customHeight="1"/>
    <row r="95" ht="14.45" customHeight="1"/>
    <row r="96" ht="14.45" customHeight="1"/>
    <row r="97" ht="14.45" customHeight="1"/>
    <row r="98" ht="14.45" customHeight="1"/>
    <row r="99" ht="14.45" customHeight="1"/>
    <row r="100" ht="14.45" customHeight="1"/>
    <row r="101" ht="14.45" customHeight="1"/>
    <row r="102" ht="14.45" customHeight="1"/>
    <row r="103" ht="14.45" customHeight="1"/>
    <row r="104" ht="14.45" customHeight="1"/>
    <row r="105" ht="14.45" customHeight="1"/>
    <row r="106" ht="14.45" customHeight="1"/>
    <row r="107" ht="14.45" customHeight="1"/>
    <row r="108" ht="14.45" customHeight="1"/>
    <row r="109" ht="14.45" customHeight="1"/>
    <row r="110" ht="14.45" customHeight="1"/>
    <row r="111" ht="14.45" customHeight="1"/>
    <row r="112" ht="14.45" customHeight="1"/>
    <row r="113" ht="14.45" customHeight="1"/>
    <row r="114" ht="14.45" customHeight="1"/>
    <row r="115" ht="14.45" customHeight="1"/>
    <row r="116" ht="14.45" customHeight="1"/>
    <row r="117" ht="14.45" customHeight="1"/>
    <row r="118" ht="14.45" customHeight="1"/>
    <row r="119" ht="14.45" customHeight="1"/>
    <row r="120" ht="14.45" customHeight="1"/>
    <row r="121" ht="14.45" customHeight="1"/>
    <row r="122" ht="14.45" customHeight="1"/>
    <row r="123" ht="14.45" customHeight="1"/>
    <row r="124" ht="14.45" customHeight="1"/>
    <row r="125" ht="14.45" customHeight="1"/>
    <row r="126" ht="14.45" customHeight="1"/>
    <row r="127" ht="14.45" customHeight="1"/>
    <row r="128" ht="14.45" customHeight="1"/>
    <row r="129" ht="14.45" customHeight="1"/>
    <row r="130" ht="14.45" customHeight="1"/>
    <row r="131" ht="14.45" customHeight="1"/>
    <row r="132" ht="14.45" customHeight="1"/>
    <row r="133" ht="14.45" customHeight="1"/>
    <row r="134" ht="14.45" customHeight="1"/>
    <row r="135" ht="14.45" customHeight="1"/>
    <row r="136" ht="14.45" customHeight="1"/>
    <row r="137" ht="14.45" customHeight="1"/>
    <row r="138" ht="14.45" customHeight="1"/>
    <row r="139" ht="14.45" customHeight="1"/>
    <row r="140" ht="14.45" customHeight="1"/>
    <row r="141" ht="14.45" customHeight="1"/>
    <row r="142" ht="14.45" customHeight="1"/>
    <row r="143" ht="14.45" customHeight="1"/>
    <row r="144" ht="14.45" customHeight="1"/>
  </sheetData>
  <mergeCells count="3">
    <mergeCell ref="B30:I31"/>
    <mergeCell ref="B25:I26"/>
    <mergeCell ref="A19:J2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82"/>
  <sheetViews>
    <sheetView view="pageBreakPreview" topLeftCell="A61" zoomScaleSheetLayoutView="100" workbookViewId="0">
      <selection activeCell="E90" sqref="E90"/>
    </sheetView>
  </sheetViews>
  <sheetFormatPr defaultRowHeight="13.15"/>
  <cols>
    <col min="1" max="1" width="6.42578125" customWidth="1"/>
    <col min="2" max="2" width="56.85546875" customWidth="1"/>
    <col min="3" max="3" width="10.140625" customWidth="1"/>
    <col min="4" max="4" width="5" customWidth="1"/>
    <col min="5" max="5" width="6.7109375" customWidth="1"/>
    <col min="6" max="6" width="11.85546875" bestFit="1" customWidth="1"/>
    <col min="7" max="7" width="15.42578125" customWidth="1"/>
    <col min="9" max="9" width="7.7109375" style="28" customWidth="1"/>
    <col min="10" max="10" width="8.7109375" style="28" customWidth="1"/>
    <col min="11" max="11" width="7" style="28" bestFit="1" customWidth="1"/>
    <col min="12" max="12" width="9.140625" style="42"/>
    <col min="13" max="13" width="7.85546875" style="42" bestFit="1" customWidth="1"/>
    <col min="14" max="14" width="11.140625" bestFit="1" customWidth="1"/>
    <col min="15" max="16" width="9.28515625" bestFit="1" customWidth="1"/>
  </cols>
  <sheetData>
    <row r="1" spans="1:7">
      <c r="A1" s="691"/>
      <c r="B1" s="691"/>
      <c r="C1" s="691"/>
      <c r="D1" s="691"/>
      <c r="E1" s="691"/>
      <c r="F1" s="691"/>
      <c r="G1" s="691"/>
    </row>
    <row r="2" spans="1:7">
      <c r="A2" s="691"/>
      <c r="B2" s="691"/>
      <c r="C2" s="691"/>
      <c r="D2" s="691"/>
      <c r="E2" s="691"/>
      <c r="F2" s="691"/>
      <c r="G2" s="691"/>
    </row>
    <row r="3" spans="1:7">
      <c r="A3" s="691"/>
      <c r="B3" s="691"/>
      <c r="C3" s="691"/>
      <c r="D3" s="691"/>
      <c r="E3" s="691"/>
      <c r="F3" s="691"/>
      <c r="G3" s="691"/>
    </row>
    <row r="4" spans="1:7">
      <c r="A4" s="691"/>
      <c r="B4" s="691"/>
      <c r="C4" s="691"/>
      <c r="D4" s="691"/>
      <c r="E4" s="691"/>
      <c r="F4" s="691"/>
      <c r="G4" s="691"/>
    </row>
    <row r="5" spans="1:7">
      <c r="A5" s="691"/>
      <c r="B5" s="691"/>
      <c r="C5" s="691"/>
      <c r="D5" s="691"/>
      <c r="E5" s="691"/>
      <c r="F5" s="691"/>
      <c r="G5" s="691"/>
    </row>
    <row r="6" spans="1:7">
      <c r="A6" s="691"/>
      <c r="B6" s="691"/>
      <c r="C6" s="691"/>
      <c r="D6" s="691"/>
      <c r="E6" s="691"/>
      <c r="F6" s="691"/>
      <c r="G6" s="691"/>
    </row>
    <row r="7" spans="1:7">
      <c r="A7" s="691"/>
      <c r="B7" s="691"/>
      <c r="C7" s="691"/>
      <c r="D7" s="691"/>
      <c r="E7" s="691"/>
      <c r="F7" s="691"/>
      <c r="G7" s="691"/>
    </row>
    <row r="8" spans="1:7">
      <c r="A8" s="691"/>
      <c r="B8" s="691"/>
      <c r="C8" s="691"/>
      <c r="D8" s="691"/>
      <c r="E8" s="691"/>
      <c r="F8" s="691"/>
      <c r="G8" s="691"/>
    </row>
    <row r="9" spans="1:7">
      <c r="A9" s="691"/>
      <c r="B9" s="691"/>
      <c r="C9" s="691"/>
      <c r="D9" s="691"/>
      <c r="E9" s="691"/>
      <c r="F9" s="691"/>
      <c r="G9" s="691"/>
    </row>
    <row r="10" spans="1:7">
      <c r="A10" s="692" t="s">
        <v>12</v>
      </c>
      <c r="B10" s="692"/>
      <c r="C10" s="692"/>
      <c r="D10" s="692"/>
      <c r="E10" s="692"/>
      <c r="F10" s="692"/>
      <c r="G10" s="692"/>
    </row>
    <row r="11" spans="1:7">
      <c r="A11" s="692" t="s">
        <v>13</v>
      </c>
      <c r="B11" s="692"/>
      <c r="C11" s="692"/>
      <c r="D11" s="692"/>
      <c r="E11" s="692"/>
      <c r="F11" s="692"/>
      <c r="G11" s="692"/>
    </row>
    <row r="12" spans="1:7">
      <c r="A12" s="35"/>
      <c r="B12" s="35"/>
      <c r="C12" s="35"/>
      <c r="D12" s="35"/>
      <c r="E12" s="35"/>
      <c r="F12" s="35"/>
      <c r="G12" s="35"/>
    </row>
    <row r="13" spans="1:7">
      <c r="A13" s="35"/>
      <c r="B13" s="692" t="s">
        <v>14</v>
      </c>
      <c r="C13" s="692"/>
      <c r="D13" s="692"/>
      <c r="E13" s="692"/>
      <c r="F13" s="692"/>
      <c r="G13" s="51" t="s">
        <v>15</v>
      </c>
    </row>
    <row r="14" spans="1:7" ht="21.75" customHeight="1" thickBot="1">
      <c r="A14" s="693" t="s">
        <v>16</v>
      </c>
      <c r="B14" s="693"/>
      <c r="C14" s="693"/>
      <c r="D14" s="693"/>
      <c r="E14" s="693"/>
      <c r="F14" s="693"/>
      <c r="G14" s="693"/>
    </row>
    <row r="15" spans="1:7">
      <c r="A15" s="701" t="s">
        <v>17</v>
      </c>
      <c r="B15" s="701" t="s">
        <v>18</v>
      </c>
      <c r="C15" s="701" t="s">
        <v>19</v>
      </c>
      <c r="D15" s="701" t="s">
        <v>20</v>
      </c>
      <c r="E15" s="701" t="s">
        <v>21</v>
      </c>
      <c r="F15" s="36" t="s">
        <v>22</v>
      </c>
      <c r="G15" s="694" t="s">
        <v>23</v>
      </c>
    </row>
    <row r="16" spans="1:7" ht="13.9" thickBot="1">
      <c r="A16" s="702"/>
      <c r="B16" s="702"/>
      <c r="C16" s="702"/>
      <c r="D16" s="702"/>
      <c r="E16" s="702"/>
      <c r="F16" s="19" t="s">
        <v>24</v>
      </c>
      <c r="G16" s="695"/>
    </row>
    <row r="17" spans="1:16">
      <c r="A17" s="12">
        <v>0</v>
      </c>
      <c r="B17" s="700" t="s">
        <v>25</v>
      </c>
      <c r="C17" s="700"/>
      <c r="D17" s="700"/>
      <c r="E17" s="13"/>
      <c r="F17" s="13"/>
      <c r="G17" s="14" t="e">
        <f>SUM(G18:G20)</f>
        <v>#REF!</v>
      </c>
      <c r="I17" s="435" t="s">
        <v>26</v>
      </c>
      <c r="J17" s="435" t="s">
        <v>27</v>
      </c>
      <c r="K17" s="435" t="s">
        <v>28</v>
      </c>
    </row>
    <row r="18" spans="1:16" ht="24" customHeight="1">
      <c r="A18" s="5" t="s">
        <v>29</v>
      </c>
      <c r="B18" s="6" t="e">
        <f>IF(C18="","",VLOOKUP(C18,#REF!,2,FALSE))</f>
        <v>#REF!</v>
      </c>
      <c r="C18" s="7" t="s">
        <v>30</v>
      </c>
      <c r="D18" s="8" t="s">
        <v>31</v>
      </c>
      <c r="E18" s="9">
        <f>I18*J18*K18</f>
        <v>240</v>
      </c>
      <c r="F18" s="10" t="e">
        <f>IF(C18="","",VLOOKUP(C18,#REF!,2,FALSE))</f>
        <v>#REF!</v>
      </c>
      <c r="G18" s="11" t="e">
        <f>E18*F18</f>
        <v>#REF!</v>
      </c>
      <c r="I18" s="28">
        <v>40</v>
      </c>
      <c r="J18" s="28">
        <v>6</v>
      </c>
      <c r="K18" s="28">
        <v>1</v>
      </c>
    </row>
    <row r="19" spans="1:16">
      <c r="A19" s="5" t="s">
        <v>32</v>
      </c>
      <c r="B19" s="6" t="e">
        <f>IF(C19="","",VLOOKUP(C19,#REF!,2,FALSE))</f>
        <v>#REF!</v>
      </c>
      <c r="C19" s="7" t="s">
        <v>33</v>
      </c>
      <c r="D19" s="8" t="s">
        <v>31</v>
      </c>
      <c r="E19" s="9">
        <f>I19*J19*K19</f>
        <v>960</v>
      </c>
      <c r="F19" s="10" t="e">
        <f>IF(C19="","",VLOOKUP(C19,#REF!,2,FALSE))</f>
        <v>#REF!</v>
      </c>
      <c r="G19" s="11" t="e">
        <f>E19*F19</f>
        <v>#REF!</v>
      </c>
      <c r="I19" s="28">
        <v>160</v>
      </c>
      <c r="J19" s="28">
        <v>6</v>
      </c>
      <c r="K19" s="28">
        <v>1</v>
      </c>
    </row>
    <row r="20" spans="1:16">
      <c r="A20" s="5" t="s">
        <v>34</v>
      </c>
      <c r="B20" s="6" t="e">
        <f>IF(C20="","",VLOOKUP(C20,#REF!,2,FALSE))</f>
        <v>#REF!</v>
      </c>
      <c r="C20" s="7" t="s">
        <v>35</v>
      </c>
      <c r="D20" s="8" t="s">
        <v>31</v>
      </c>
      <c r="E20" s="9">
        <f>I20*J20*K20</f>
        <v>960</v>
      </c>
      <c r="F20" s="10" t="e">
        <f>IF(C20="","",VLOOKUP(C20,#REF!,2,FALSE))</f>
        <v>#REF!</v>
      </c>
      <c r="G20" s="11" t="e">
        <f>E20*F20</f>
        <v>#REF!</v>
      </c>
      <c r="I20" s="28">
        <v>160</v>
      </c>
      <c r="J20" s="28">
        <v>6</v>
      </c>
      <c r="K20" s="28">
        <v>1</v>
      </c>
    </row>
    <row r="21" spans="1:16">
      <c r="A21" s="16">
        <v>1</v>
      </c>
      <c r="B21" s="696" t="s">
        <v>36</v>
      </c>
      <c r="C21" s="696"/>
      <c r="D21" s="696"/>
      <c r="E21" s="17"/>
      <c r="F21" s="17"/>
      <c r="G21" s="18" t="e">
        <f>SUM(G22:G29)</f>
        <v>#REF!</v>
      </c>
      <c r="H21" s="436"/>
      <c r="I21" s="435"/>
      <c r="J21" s="435"/>
      <c r="K21" s="435"/>
      <c r="L21" s="42">
        <v>1</v>
      </c>
      <c r="M21" s="395" t="s">
        <v>37</v>
      </c>
      <c r="N21" s="436"/>
      <c r="O21" s="436"/>
      <c r="P21" s="436"/>
    </row>
    <row r="22" spans="1:16" ht="12.75" customHeight="1">
      <c r="A22" s="5" t="s">
        <v>38</v>
      </c>
      <c r="B22" s="6" t="s">
        <v>39</v>
      </c>
      <c r="C22" s="7"/>
      <c r="D22" s="8" t="s">
        <v>31</v>
      </c>
      <c r="E22" s="9">
        <f>I22*J22*K22</f>
        <v>40</v>
      </c>
      <c r="F22" s="10">
        <v>53.9</v>
      </c>
      <c r="G22" s="11">
        <f t="shared" ref="G22:G29" si="0">E22*F22</f>
        <v>2156</v>
      </c>
      <c r="H22" s="436"/>
      <c r="I22" s="28">
        <v>40</v>
      </c>
      <c r="J22" s="28">
        <v>1</v>
      </c>
      <c r="K22" s="28">
        <v>1</v>
      </c>
      <c r="L22" s="28"/>
      <c r="M22" s="28"/>
      <c r="N22" s="2">
        <v>3719.74</v>
      </c>
      <c r="O22" s="437">
        <f>N22/160</f>
        <v>23.248374999999999</v>
      </c>
      <c r="P22" s="437">
        <f>O22+O22*1.14</f>
        <v>49.751522499999993</v>
      </c>
    </row>
    <row r="23" spans="1:16">
      <c r="A23" s="5" t="s">
        <v>40</v>
      </c>
      <c r="B23" s="6" t="s">
        <v>41</v>
      </c>
      <c r="C23" s="7"/>
      <c r="D23" s="8" t="s">
        <v>31</v>
      </c>
      <c r="E23" s="9">
        <f t="shared" ref="E23:E29" si="1">I23*J23*K23</f>
        <v>160</v>
      </c>
      <c r="F23" s="10">
        <v>53.9</v>
      </c>
      <c r="G23" s="11">
        <f t="shared" si="0"/>
        <v>8624</v>
      </c>
      <c r="H23" s="436"/>
      <c r="I23" s="28">
        <v>160</v>
      </c>
      <c r="J23" s="28">
        <v>1</v>
      </c>
      <c r="K23" s="28">
        <v>1</v>
      </c>
      <c r="N23" s="437">
        <v>2076</v>
      </c>
      <c r="O23" s="437">
        <f>N23/160</f>
        <v>12.975</v>
      </c>
      <c r="P23" s="437">
        <f>O23+O23*1.14</f>
        <v>27.766500000000001</v>
      </c>
    </row>
    <row r="24" spans="1:16">
      <c r="A24" s="5" t="s">
        <v>42</v>
      </c>
      <c r="B24" s="6" t="s">
        <v>43</v>
      </c>
      <c r="C24" s="7"/>
      <c r="D24" s="8" t="s">
        <v>31</v>
      </c>
      <c r="E24" s="9">
        <f t="shared" si="1"/>
        <v>0</v>
      </c>
      <c r="F24" s="10">
        <v>53.9</v>
      </c>
      <c r="G24" s="11">
        <f t="shared" si="0"/>
        <v>0</v>
      </c>
      <c r="H24" s="436"/>
      <c r="I24" s="28">
        <v>160</v>
      </c>
      <c r="J24" s="28">
        <v>1</v>
      </c>
      <c r="K24" s="28">
        <v>0</v>
      </c>
      <c r="P24">
        <v>50</v>
      </c>
    </row>
    <row r="25" spans="1:16" ht="12.75" customHeight="1">
      <c r="A25" s="5" t="s">
        <v>44</v>
      </c>
      <c r="B25" s="6" t="e">
        <f>IF(C25="","",VLOOKUP(C25,#REF!,2,FALSE))</f>
        <v>#REF!</v>
      </c>
      <c r="C25" s="7" t="s">
        <v>45</v>
      </c>
      <c r="D25" s="8" t="s">
        <v>31</v>
      </c>
      <c r="E25" s="9">
        <f t="shared" si="1"/>
        <v>80</v>
      </c>
      <c r="F25" s="10" t="e">
        <f>IF(C25="","",VLOOKUP(C25,#REF!,2,FALSE))</f>
        <v>#REF!</v>
      </c>
      <c r="G25" s="11" t="e">
        <f t="shared" si="0"/>
        <v>#REF!</v>
      </c>
      <c r="H25" s="436"/>
      <c r="I25" s="28">
        <v>80</v>
      </c>
      <c r="J25" s="28">
        <v>1</v>
      </c>
      <c r="K25" s="435">
        <v>1</v>
      </c>
    </row>
    <row r="26" spans="1:16">
      <c r="A26" s="5" t="s">
        <v>46</v>
      </c>
      <c r="B26" s="6" t="e">
        <f>IF(C26="","",VLOOKUP(C26,#REF!,2,FALSE))</f>
        <v>#REF!</v>
      </c>
      <c r="C26" s="7" t="s">
        <v>47</v>
      </c>
      <c r="D26" s="8" t="s">
        <v>31</v>
      </c>
      <c r="E26" s="9">
        <f t="shared" si="1"/>
        <v>160</v>
      </c>
      <c r="F26" s="10" t="e">
        <f>IF(C26="","",VLOOKUP(C26,#REF!,2,FALSE))</f>
        <v>#REF!</v>
      </c>
      <c r="G26" s="11" t="e">
        <f t="shared" si="0"/>
        <v>#REF!</v>
      </c>
      <c r="H26" s="436"/>
      <c r="I26" s="28">
        <v>160</v>
      </c>
      <c r="J26" s="28">
        <v>1</v>
      </c>
      <c r="K26" s="435">
        <v>1</v>
      </c>
    </row>
    <row r="27" spans="1:16">
      <c r="A27" s="5" t="s">
        <v>48</v>
      </c>
      <c r="B27" s="6" t="e">
        <f>IF(C27="","",VLOOKUP(C27,#REF!,2,FALSE))</f>
        <v>#REF!</v>
      </c>
      <c r="C27" s="7" t="s">
        <v>49</v>
      </c>
      <c r="D27" s="8" t="s">
        <v>31</v>
      </c>
      <c r="E27" s="9">
        <f t="shared" si="1"/>
        <v>0</v>
      </c>
      <c r="F27" s="10" t="e">
        <f>IF(C27="","",VLOOKUP(C27,#REF!,2,FALSE))</f>
        <v>#REF!</v>
      </c>
      <c r="G27" s="11" t="e">
        <f t="shared" si="0"/>
        <v>#REF!</v>
      </c>
      <c r="H27" s="436"/>
      <c r="I27" s="28">
        <v>160</v>
      </c>
      <c r="J27" s="28">
        <v>1</v>
      </c>
      <c r="K27" s="435">
        <v>0</v>
      </c>
    </row>
    <row r="28" spans="1:16">
      <c r="A28" s="5" t="s">
        <v>50</v>
      </c>
      <c r="B28" s="6" t="e">
        <f>IF(C28="","",VLOOKUP(C28,#REF!,2,FALSE))</f>
        <v>#REF!</v>
      </c>
      <c r="C28" s="7" t="s">
        <v>51</v>
      </c>
      <c r="D28" s="8" t="s">
        <v>31</v>
      </c>
      <c r="E28" s="9">
        <f t="shared" si="1"/>
        <v>0</v>
      </c>
      <c r="F28" s="10" t="e">
        <f>IF(C28="","",VLOOKUP(C28,#REF!,2,FALSE))</f>
        <v>#REF!</v>
      </c>
      <c r="G28" s="11" t="e">
        <f t="shared" si="0"/>
        <v>#REF!</v>
      </c>
      <c r="H28" s="436"/>
      <c r="I28" s="28">
        <v>160</v>
      </c>
      <c r="J28" s="28">
        <v>1</v>
      </c>
      <c r="K28" s="435">
        <v>0</v>
      </c>
    </row>
    <row r="29" spans="1:16">
      <c r="A29" s="5" t="s">
        <v>52</v>
      </c>
      <c r="B29" s="6" t="e">
        <f>IF(C29="","",VLOOKUP(C29,#REF!,2,FALSE))</f>
        <v>#REF!</v>
      </c>
      <c r="C29" s="7" t="s">
        <v>53</v>
      </c>
      <c r="D29" s="8"/>
      <c r="E29" s="9">
        <f t="shared" si="1"/>
        <v>0</v>
      </c>
      <c r="F29" s="10" t="e">
        <f>IF(C29="","",VLOOKUP(C29,#REF!,2,FALSE))</f>
        <v>#REF!</v>
      </c>
      <c r="G29" s="11" t="e">
        <f t="shared" si="0"/>
        <v>#REF!</v>
      </c>
      <c r="H29" s="436"/>
      <c r="I29" s="28">
        <v>160</v>
      </c>
      <c r="J29" s="28">
        <v>1</v>
      </c>
      <c r="K29" s="435">
        <v>0</v>
      </c>
    </row>
    <row r="30" spans="1:16">
      <c r="A30" s="16">
        <v>2</v>
      </c>
      <c r="B30" s="696" t="s">
        <v>54</v>
      </c>
      <c r="C30" s="696"/>
      <c r="D30" s="696"/>
      <c r="E30" s="17"/>
      <c r="F30" s="17"/>
      <c r="G30" s="18" t="e">
        <f>SUM(G31:G39)</f>
        <v>#REF!</v>
      </c>
      <c r="H30" s="438"/>
      <c r="I30" s="435"/>
      <c r="J30" s="435"/>
      <c r="K30" s="435"/>
      <c r="L30" s="42">
        <v>1</v>
      </c>
      <c r="M30" s="395" t="s">
        <v>55</v>
      </c>
    </row>
    <row r="31" spans="1:16" ht="12" customHeight="1">
      <c r="A31" s="5" t="s">
        <v>56</v>
      </c>
      <c r="B31" s="6" t="s">
        <v>39</v>
      </c>
      <c r="C31" s="7"/>
      <c r="D31" s="8" t="s">
        <v>31</v>
      </c>
      <c r="E31" s="9">
        <f>I31*J31*K31</f>
        <v>40</v>
      </c>
      <c r="F31" s="10">
        <v>53.9</v>
      </c>
      <c r="G31" s="11">
        <f t="shared" ref="G31:G38" si="2">E31*F31</f>
        <v>2156</v>
      </c>
      <c r="H31" s="438"/>
      <c r="I31" s="28">
        <v>40</v>
      </c>
      <c r="J31" s="28">
        <v>1</v>
      </c>
      <c r="K31" s="28">
        <v>1</v>
      </c>
      <c r="L31" s="28"/>
      <c r="M31" s="28"/>
    </row>
    <row r="32" spans="1:16">
      <c r="A32" s="5" t="s">
        <v>57</v>
      </c>
      <c r="B32" s="6" t="s">
        <v>41</v>
      </c>
      <c r="C32" s="7"/>
      <c r="D32" s="8" t="s">
        <v>31</v>
      </c>
      <c r="E32" s="9">
        <f t="shared" ref="E32:E38" si="3">I32*J32*K32</f>
        <v>40</v>
      </c>
      <c r="F32" s="10">
        <v>53.9</v>
      </c>
      <c r="G32" s="11">
        <f t="shared" si="2"/>
        <v>2156</v>
      </c>
      <c r="H32" s="438"/>
      <c r="I32" s="28">
        <v>40</v>
      </c>
      <c r="J32" s="28">
        <v>1</v>
      </c>
      <c r="K32" s="28">
        <v>1</v>
      </c>
    </row>
    <row r="33" spans="1:13">
      <c r="A33" s="5" t="s">
        <v>58</v>
      </c>
      <c r="B33" s="6" t="s">
        <v>43</v>
      </c>
      <c r="C33" s="7"/>
      <c r="D33" s="8" t="s">
        <v>31</v>
      </c>
      <c r="E33" s="9">
        <f t="shared" si="3"/>
        <v>40</v>
      </c>
      <c r="F33" s="10">
        <v>53.9</v>
      </c>
      <c r="G33" s="11">
        <f t="shared" si="2"/>
        <v>2156</v>
      </c>
      <c r="H33" s="438"/>
      <c r="I33" s="28">
        <v>40</v>
      </c>
      <c r="J33" s="28">
        <v>1</v>
      </c>
      <c r="K33" s="28">
        <v>1</v>
      </c>
    </row>
    <row r="34" spans="1:13" ht="12.75" customHeight="1">
      <c r="A34" s="5" t="s">
        <v>59</v>
      </c>
      <c r="B34" s="6" t="e">
        <f>IF(C34="","",VLOOKUP(C34,#REF!,2,FALSE))</f>
        <v>#REF!</v>
      </c>
      <c r="C34" s="7" t="s">
        <v>45</v>
      </c>
      <c r="D34" s="8" t="s">
        <v>31</v>
      </c>
      <c r="E34" s="9">
        <f t="shared" si="3"/>
        <v>40</v>
      </c>
      <c r="F34" s="10" t="e">
        <f>IF(C34="","",VLOOKUP(C34,#REF!,2,FALSE))</f>
        <v>#REF!</v>
      </c>
      <c r="G34" s="11" t="e">
        <f t="shared" si="2"/>
        <v>#REF!</v>
      </c>
      <c r="H34" s="438"/>
      <c r="I34" s="28">
        <v>40</v>
      </c>
      <c r="J34" s="28">
        <v>1</v>
      </c>
      <c r="K34" s="28">
        <v>1</v>
      </c>
    </row>
    <row r="35" spans="1:13">
      <c r="A35" s="5" t="s">
        <v>60</v>
      </c>
      <c r="B35" s="6" t="e">
        <f>IF(C35="","",VLOOKUP(C35,#REF!,2,FALSE))</f>
        <v>#REF!</v>
      </c>
      <c r="C35" s="7" t="s">
        <v>47</v>
      </c>
      <c r="D35" s="8" t="s">
        <v>31</v>
      </c>
      <c r="E35" s="9">
        <f t="shared" si="3"/>
        <v>80</v>
      </c>
      <c r="F35" s="10" t="e">
        <f>IF(C35="","",VLOOKUP(C35,#REF!,2,FALSE))</f>
        <v>#REF!</v>
      </c>
      <c r="G35" s="11" t="e">
        <f t="shared" si="2"/>
        <v>#REF!</v>
      </c>
      <c r="H35" s="438"/>
      <c r="I35" s="28">
        <v>80</v>
      </c>
      <c r="J35" s="28">
        <v>1</v>
      </c>
      <c r="K35" s="28">
        <v>1</v>
      </c>
    </row>
    <row r="36" spans="1:13">
      <c r="A36" s="5" t="s">
        <v>61</v>
      </c>
      <c r="B36" s="6" t="e">
        <f>IF(C36="","",VLOOKUP(C36,#REF!,2,FALSE))</f>
        <v>#REF!</v>
      </c>
      <c r="C36" s="7" t="s">
        <v>49</v>
      </c>
      <c r="D36" s="8" t="s">
        <v>31</v>
      </c>
      <c r="E36" s="9">
        <f t="shared" si="3"/>
        <v>0</v>
      </c>
      <c r="F36" s="10" t="e">
        <f>IF(C36="","",VLOOKUP(C36,#REF!,2,FALSE))</f>
        <v>#REF!</v>
      </c>
      <c r="G36" s="11" t="e">
        <f t="shared" si="2"/>
        <v>#REF!</v>
      </c>
      <c r="H36" s="438"/>
      <c r="I36" s="28">
        <v>0</v>
      </c>
      <c r="J36" s="28">
        <v>1</v>
      </c>
      <c r="K36" s="28">
        <v>1</v>
      </c>
    </row>
    <row r="37" spans="1:13">
      <c r="A37" s="5" t="s">
        <v>62</v>
      </c>
      <c r="B37" s="6" t="e">
        <f>IF(C37="","",VLOOKUP(C37,#REF!,2,FALSE))</f>
        <v>#REF!</v>
      </c>
      <c r="C37" s="7" t="s">
        <v>51</v>
      </c>
      <c r="D37" s="8" t="s">
        <v>31</v>
      </c>
      <c r="E37" s="9">
        <f t="shared" si="3"/>
        <v>40</v>
      </c>
      <c r="F37" s="10" t="e">
        <f>IF(C37="","",VLOOKUP(C37,#REF!,2,FALSE))</f>
        <v>#REF!</v>
      </c>
      <c r="G37" s="11" t="e">
        <f t="shared" si="2"/>
        <v>#REF!</v>
      </c>
      <c r="H37" s="438"/>
      <c r="I37" s="28">
        <v>40</v>
      </c>
      <c r="J37" s="28">
        <v>1</v>
      </c>
      <c r="K37" s="28">
        <v>1</v>
      </c>
    </row>
    <row r="38" spans="1:13">
      <c r="A38" s="5" t="s">
        <v>63</v>
      </c>
      <c r="B38" s="6" t="e">
        <f>IF(C38="","",VLOOKUP(C38,#REF!,2,FALSE))</f>
        <v>#REF!</v>
      </c>
      <c r="C38" s="7" t="s">
        <v>53</v>
      </c>
      <c r="D38" s="8"/>
      <c r="E38" s="9">
        <f t="shared" si="3"/>
        <v>80</v>
      </c>
      <c r="F38" s="10" t="e">
        <f>IF(C38="","",VLOOKUP(C38,#REF!,2,FALSE))</f>
        <v>#REF!</v>
      </c>
      <c r="G38" s="11" t="e">
        <f t="shared" si="2"/>
        <v>#REF!</v>
      </c>
      <c r="H38" s="438"/>
      <c r="I38" s="28">
        <v>80</v>
      </c>
      <c r="J38" s="28">
        <v>1</v>
      </c>
      <c r="K38" s="28">
        <v>1</v>
      </c>
    </row>
    <row r="39" spans="1:13" ht="24" customHeight="1">
      <c r="A39" s="5" t="s">
        <v>64</v>
      </c>
      <c r="B39" s="6" t="e">
        <f>IF(C39="","",VLOOKUP(C39,#REF!,2,FALSE))</f>
        <v>#REF!</v>
      </c>
      <c r="C39" s="7" t="s">
        <v>65</v>
      </c>
      <c r="D39" s="8"/>
      <c r="E39" s="9">
        <f>I39*J39*K39</f>
        <v>40</v>
      </c>
      <c r="F39" s="10" t="e">
        <f>IF(C39="","",VLOOKUP(C39,#REF!,2,FALSE))</f>
        <v>#REF!</v>
      </c>
      <c r="G39" s="11" t="e">
        <f>E39*F39</f>
        <v>#REF!</v>
      </c>
      <c r="H39" s="438"/>
      <c r="I39" s="28">
        <v>40</v>
      </c>
      <c r="J39" s="28">
        <v>1</v>
      </c>
      <c r="K39" s="28">
        <v>1</v>
      </c>
    </row>
    <row r="40" spans="1:13" ht="24" customHeight="1">
      <c r="A40" s="16">
        <v>3</v>
      </c>
      <c r="B40" s="699" t="s">
        <v>66</v>
      </c>
      <c r="C40" s="699"/>
      <c r="D40" s="699"/>
      <c r="E40" s="699"/>
      <c r="F40" s="699"/>
      <c r="G40" s="18" t="e">
        <f>SUM(G41:G50)</f>
        <v>#REF!</v>
      </c>
      <c r="H40" s="438"/>
      <c r="I40" s="435"/>
      <c r="J40" s="435"/>
      <c r="K40" s="435"/>
      <c r="L40" s="42">
        <v>1</v>
      </c>
      <c r="M40" s="395" t="s">
        <v>67</v>
      </c>
    </row>
    <row r="41" spans="1:13">
      <c r="A41" s="5" t="s">
        <v>68</v>
      </c>
      <c r="B41" s="6" t="s">
        <v>39</v>
      </c>
      <c r="C41" s="7"/>
      <c r="D41" s="8" t="s">
        <v>31</v>
      </c>
      <c r="E41" s="9">
        <f>I41*J41*K41</f>
        <v>40</v>
      </c>
      <c r="F41" s="10">
        <v>53.9</v>
      </c>
      <c r="G41" s="11">
        <f t="shared" ref="G41:G50" si="4">E41*F41</f>
        <v>2156</v>
      </c>
      <c r="H41" s="438"/>
      <c r="I41" s="28">
        <v>40</v>
      </c>
      <c r="J41" s="28">
        <v>1</v>
      </c>
      <c r="K41" s="28">
        <v>1</v>
      </c>
      <c r="M41" s="28"/>
    </row>
    <row r="42" spans="1:13">
      <c r="A42" s="5" t="s">
        <v>69</v>
      </c>
      <c r="B42" s="6" t="s">
        <v>41</v>
      </c>
      <c r="C42" s="7"/>
      <c r="D42" s="8" t="s">
        <v>31</v>
      </c>
      <c r="E42" s="9">
        <f t="shared" ref="E42:E50" si="5">I42*J42*K42</f>
        <v>40</v>
      </c>
      <c r="F42" s="10">
        <v>53.9</v>
      </c>
      <c r="G42" s="11">
        <f t="shared" si="4"/>
        <v>2156</v>
      </c>
      <c r="H42" s="438"/>
      <c r="I42" s="28">
        <v>40</v>
      </c>
      <c r="J42" s="28">
        <v>1</v>
      </c>
      <c r="K42" s="28">
        <v>1</v>
      </c>
      <c r="M42" s="28"/>
    </row>
    <row r="43" spans="1:13">
      <c r="A43" s="5" t="s">
        <v>70</v>
      </c>
      <c r="B43" s="6" t="s">
        <v>43</v>
      </c>
      <c r="C43" s="7"/>
      <c r="D43" s="8" t="s">
        <v>31</v>
      </c>
      <c r="E43" s="9">
        <f t="shared" si="5"/>
        <v>40</v>
      </c>
      <c r="F43" s="10">
        <v>53.9</v>
      </c>
      <c r="G43" s="11">
        <f t="shared" si="4"/>
        <v>2156</v>
      </c>
      <c r="H43" s="438"/>
      <c r="I43" s="28">
        <v>40</v>
      </c>
      <c r="J43" s="28">
        <v>1</v>
      </c>
      <c r="K43" s="28">
        <v>1</v>
      </c>
      <c r="M43" s="28"/>
    </row>
    <row r="44" spans="1:13" ht="12.75" customHeight="1">
      <c r="A44" s="5" t="s">
        <v>71</v>
      </c>
      <c r="B44" s="6" t="e">
        <f>IF(C44="","",VLOOKUP(C44,#REF!,2,FALSE))</f>
        <v>#REF!</v>
      </c>
      <c r="C44" s="7" t="s">
        <v>45</v>
      </c>
      <c r="D44" s="8" t="s">
        <v>31</v>
      </c>
      <c r="E44" s="9">
        <f t="shared" si="5"/>
        <v>160</v>
      </c>
      <c r="F44" s="10" t="e">
        <f>IF(C44="","",VLOOKUP(C44,#REF!,2,FALSE))</f>
        <v>#REF!</v>
      </c>
      <c r="G44" s="11" t="e">
        <f t="shared" si="4"/>
        <v>#REF!</v>
      </c>
      <c r="H44" s="438"/>
      <c r="I44" s="28">
        <v>160</v>
      </c>
      <c r="J44" s="28">
        <v>1</v>
      </c>
      <c r="K44" s="28">
        <v>1</v>
      </c>
      <c r="M44" s="28"/>
    </row>
    <row r="45" spans="1:13">
      <c r="A45" s="5" t="s">
        <v>72</v>
      </c>
      <c r="B45" s="6" t="e">
        <f>IF(C45="","",VLOOKUP(C45,#REF!,2,FALSE))</f>
        <v>#REF!</v>
      </c>
      <c r="C45" s="7" t="s">
        <v>47</v>
      </c>
      <c r="D45" s="8" t="s">
        <v>31</v>
      </c>
      <c r="E45" s="9">
        <f t="shared" si="5"/>
        <v>320</v>
      </c>
      <c r="F45" s="10" t="e">
        <f>IF(C45="","",VLOOKUP(C45,#REF!,2,FALSE))</f>
        <v>#REF!</v>
      </c>
      <c r="G45" s="11" t="e">
        <f t="shared" si="4"/>
        <v>#REF!</v>
      </c>
      <c r="H45" s="438"/>
      <c r="I45" s="28">
        <v>160</v>
      </c>
      <c r="J45" s="28">
        <v>1</v>
      </c>
      <c r="K45" s="28">
        <v>2</v>
      </c>
      <c r="M45" s="28"/>
    </row>
    <row r="46" spans="1:13">
      <c r="A46" s="5" t="s">
        <v>73</v>
      </c>
      <c r="B46" s="6" t="e">
        <f>IF(C46="","",VLOOKUP(C46,#REF!,2,FALSE))</f>
        <v>#REF!</v>
      </c>
      <c r="C46" s="34" t="s">
        <v>74</v>
      </c>
      <c r="D46" s="8" t="s">
        <v>31</v>
      </c>
      <c r="E46" s="9">
        <f t="shared" si="5"/>
        <v>160</v>
      </c>
      <c r="F46" s="10" t="e">
        <f>IF(C46="","",VLOOKUP(C46,#REF!,2,FALSE))</f>
        <v>#REF!</v>
      </c>
      <c r="G46" s="11" t="e">
        <f t="shared" si="4"/>
        <v>#REF!</v>
      </c>
      <c r="H46" s="438"/>
      <c r="I46" s="28">
        <v>160</v>
      </c>
      <c r="J46" s="28">
        <v>1</v>
      </c>
      <c r="K46" s="28">
        <v>1</v>
      </c>
      <c r="M46" s="28"/>
    </row>
    <row r="47" spans="1:13">
      <c r="A47" s="5" t="s">
        <v>75</v>
      </c>
      <c r="B47" s="6" t="e">
        <f>IF(C47="","",VLOOKUP(C47,#REF!,2,FALSE))</f>
        <v>#REF!</v>
      </c>
      <c r="C47" s="7" t="s">
        <v>49</v>
      </c>
      <c r="D47" s="8" t="s">
        <v>31</v>
      </c>
      <c r="E47" s="9">
        <f t="shared" si="5"/>
        <v>160</v>
      </c>
      <c r="F47" s="10" t="e">
        <f>IF(C47="","",VLOOKUP(C47,#REF!,2,FALSE))</f>
        <v>#REF!</v>
      </c>
      <c r="G47" s="11" t="e">
        <f t="shared" si="4"/>
        <v>#REF!</v>
      </c>
      <c r="H47" s="438"/>
      <c r="I47" s="28">
        <v>160</v>
      </c>
      <c r="J47" s="28">
        <v>1</v>
      </c>
      <c r="K47" s="28">
        <v>1</v>
      </c>
      <c r="M47" s="28"/>
    </row>
    <row r="48" spans="1:13">
      <c r="A48" s="5" t="s">
        <v>76</v>
      </c>
      <c r="B48" s="6" t="e">
        <f>IF(C48="","",VLOOKUP(C48,#REF!,2,FALSE))</f>
        <v>#REF!</v>
      </c>
      <c r="C48" s="7" t="s">
        <v>51</v>
      </c>
      <c r="D48" s="8" t="s">
        <v>31</v>
      </c>
      <c r="E48" s="9">
        <f t="shared" si="5"/>
        <v>80</v>
      </c>
      <c r="F48" s="10" t="e">
        <f>IF(C48="","",VLOOKUP(C48,#REF!,2,FALSE))</f>
        <v>#REF!</v>
      </c>
      <c r="G48" s="11" t="e">
        <f t="shared" si="4"/>
        <v>#REF!</v>
      </c>
      <c r="H48" s="438"/>
      <c r="I48" s="28">
        <v>80</v>
      </c>
      <c r="J48" s="28">
        <v>1</v>
      </c>
      <c r="K48" s="28">
        <v>1</v>
      </c>
      <c r="M48" s="28"/>
    </row>
    <row r="49" spans="1:15">
      <c r="A49" s="5" t="s">
        <v>77</v>
      </c>
      <c r="B49" s="6" t="e">
        <f>IF(C49="","",VLOOKUP(C49,#REF!,2,FALSE))</f>
        <v>#REF!</v>
      </c>
      <c r="C49" s="7" t="s">
        <v>53</v>
      </c>
      <c r="D49" s="8"/>
      <c r="E49" s="9">
        <f t="shared" si="5"/>
        <v>160</v>
      </c>
      <c r="F49" s="10" t="e">
        <f>IF(C49="","",VLOOKUP(C49,#REF!,2,FALSE))</f>
        <v>#REF!</v>
      </c>
      <c r="G49" s="11" t="e">
        <f t="shared" si="4"/>
        <v>#REF!</v>
      </c>
      <c r="H49" s="438"/>
      <c r="I49" s="28">
        <v>160</v>
      </c>
      <c r="J49" s="28">
        <v>1</v>
      </c>
      <c r="K49" s="28">
        <v>1</v>
      </c>
      <c r="M49" s="28"/>
    </row>
    <row r="50" spans="1:15">
      <c r="A50" s="5" t="s">
        <v>78</v>
      </c>
      <c r="B50" s="6" t="e">
        <f>IF(C50="","",VLOOKUP(C50,#REF!,2,FALSE))</f>
        <v>#REF!</v>
      </c>
      <c r="C50" s="7" t="s">
        <v>65</v>
      </c>
      <c r="D50" s="8"/>
      <c r="E50" s="9">
        <f t="shared" si="5"/>
        <v>160</v>
      </c>
      <c r="F50" s="10" t="e">
        <f>IF(C50="","",VLOOKUP(C50,#REF!,2,FALSE))</f>
        <v>#REF!</v>
      </c>
      <c r="G50" s="11" t="e">
        <f t="shared" si="4"/>
        <v>#REF!</v>
      </c>
      <c r="H50" s="438"/>
      <c r="I50" s="28">
        <v>160</v>
      </c>
      <c r="J50" s="28">
        <v>1</v>
      </c>
      <c r="K50" s="28">
        <v>1</v>
      </c>
      <c r="M50" s="28"/>
    </row>
    <row r="51" spans="1:15" ht="24" customHeight="1">
      <c r="A51" s="16">
        <v>4</v>
      </c>
      <c r="B51" s="699" t="s">
        <v>79</v>
      </c>
      <c r="C51" s="699"/>
      <c r="D51" s="699"/>
      <c r="E51" s="699"/>
      <c r="F51" s="699"/>
      <c r="G51" s="18" t="e">
        <f>SUM(G52:G61)</f>
        <v>#REF!</v>
      </c>
      <c r="H51" s="438"/>
      <c r="I51" s="435"/>
      <c r="J51" s="435"/>
      <c r="K51" s="435"/>
      <c r="L51" s="42">
        <v>1</v>
      </c>
      <c r="M51" s="395" t="s">
        <v>80</v>
      </c>
    </row>
    <row r="52" spans="1:15" ht="12.75" customHeight="1">
      <c r="A52" s="5" t="s">
        <v>81</v>
      </c>
      <c r="B52" s="6" t="s">
        <v>39</v>
      </c>
      <c r="C52" s="7"/>
      <c r="D52" s="8" t="s">
        <v>31</v>
      </c>
      <c r="E52" s="9">
        <f>I52*J52*K52</f>
        <v>80</v>
      </c>
      <c r="F52" s="10">
        <v>53.9</v>
      </c>
      <c r="G52" s="11">
        <f t="shared" ref="G52:G61" si="6">E52*F52</f>
        <v>4312</v>
      </c>
      <c r="H52" s="438"/>
      <c r="I52" s="28">
        <v>80</v>
      </c>
      <c r="J52" s="28">
        <v>1</v>
      </c>
      <c r="K52" s="28">
        <v>1</v>
      </c>
      <c r="M52" s="28">
        <v>40</v>
      </c>
      <c r="N52" s="28">
        <v>1</v>
      </c>
      <c r="O52" s="28">
        <v>1</v>
      </c>
    </row>
    <row r="53" spans="1:15">
      <c r="A53" s="5" t="s">
        <v>82</v>
      </c>
      <c r="B53" s="6" t="s">
        <v>41</v>
      </c>
      <c r="C53" s="7"/>
      <c r="D53" s="8" t="s">
        <v>31</v>
      </c>
      <c r="E53" s="9">
        <f t="shared" ref="E53:E61" si="7">I53*J53*K53</f>
        <v>20</v>
      </c>
      <c r="F53" s="10">
        <v>53.9</v>
      </c>
      <c r="G53" s="11">
        <f t="shared" si="6"/>
        <v>1078</v>
      </c>
      <c r="H53" s="438"/>
      <c r="I53" s="28">
        <v>20</v>
      </c>
      <c r="J53" s="28">
        <v>1</v>
      </c>
      <c r="K53" s="28">
        <v>1</v>
      </c>
      <c r="M53" s="28">
        <v>20</v>
      </c>
      <c r="N53" s="28">
        <v>1</v>
      </c>
      <c r="O53" s="28">
        <v>1</v>
      </c>
    </row>
    <row r="54" spans="1:15">
      <c r="A54" s="5" t="s">
        <v>83</v>
      </c>
      <c r="B54" s="6" t="s">
        <v>43</v>
      </c>
      <c r="C54" s="7"/>
      <c r="D54" s="8" t="s">
        <v>31</v>
      </c>
      <c r="E54" s="9">
        <f t="shared" si="7"/>
        <v>80</v>
      </c>
      <c r="F54" s="10">
        <v>53.9</v>
      </c>
      <c r="G54" s="11">
        <f t="shared" si="6"/>
        <v>4312</v>
      </c>
      <c r="H54" s="438"/>
      <c r="I54" s="28">
        <v>80</v>
      </c>
      <c r="J54" s="28">
        <v>1</v>
      </c>
      <c r="K54" s="28">
        <v>1</v>
      </c>
      <c r="M54" s="28">
        <v>40</v>
      </c>
      <c r="N54" s="28">
        <v>1</v>
      </c>
      <c r="O54" s="28">
        <v>1</v>
      </c>
    </row>
    <row r="55" spans="1:15" ht="12.75" customHeight="1">
      <c r="A55" s="5" t="s">
        <v>84</v>
      </c>
      <c r="B55" s="6" t="e">
        <f>IF(C55="","",VLOOKUP(C55,#REF!,2,FALSE))</f>
        <v>#REF!</v>
      </c>
      <c r="C55" s="7" t="s">
        <v>45</v>
      </c>
      <c r="D55" s="8" t="s">
        <v>31</v>
      </c>
      <c r="E55" s="9">
        <f t="shared" si="7"/>
        <v>160</v>
      </c>
      <c r="F55" s="10" t="e">
        <f>IF(C55="","",VLOOKUP(C55,#REF!,2,FALSE))</f>
        <v>#REF!</v>
      </c>
      <c r="G55" s="11" t="e">
        <f t="shared" si="6"/>
        <v>#REF!</v>
      </c>
      <c r="H55" s="438"/>
      <c r="I55" s="28">
        <v>160</v>
      </c>
      <c r="J55" s="28">
        <v>1</v>
      </c>
      <c r="K55" s="28">
        <v>1</v>
      </c>
      <c r="M55" s="28">
        <v>80</v>
      </c>
      <c r="N55" s="28">
        <v>1</v>
      </c>
      <c r="O55" s="28">
        <v>1</v>
      </c>
    </row>
    <row r="56" spans="1:15">
      <c r="A56" s="5" t="s">
        <v>85</v>
      </c>
      <c r="B56" s="6" t="e">
        <f>IF(C56="","",VLOOKUP(C56,#REF!,2,FALSE))</f>
        <v>#REF!</v>
      </c>
      <c r="C56" s="7" t="s">
        <v>47</v>
      </c>
      <c r="D56" s="8" t="s">
        <v>31</v>
      </c>
      <c r="E56" s="9">
        <f t="shared" si="7"/>
        <v>320</v>
      </c>
      <c r="F56" s="10" t="e">
        <f>IF(C56="","",VLOOKUP(C56,#REF!,2,FALSE))</f>
        <v>#REF!</v>
      </c>
      <c r="G56" s="11" t="e">
        <f t="shared" si="6"/>
        <v>#REF!</v>
      </c>
      <c r="H56" s="438"/>
      <c r="I56" s="28">
        <v>160</v>
      </c>
      <c r="J56" s="28">
        <v>1</v>
      </c>
      <c r="K56" s="28">
        <v>2</v>
      </c>
      <c r="M56" s="28">
        <v>160</v>
      </c>
      <c r="N56" s="28">
        <v>1</v>
      </c>
      <c r="O56" s="28">
        <v>2</v>
      </c>
    </row>
    <row r="57" spans="1:15">
      <c r="A57" s="5" t="s">
        <v>86</v>
      </c>
      <c r="B57" s="6" t="e">
        <f>IF(C57="","",VLOOKUP(C57,#REF!,2,FALSE))</f>
        <v>#REF!</v>
      </c>
      <c r="C57" s="7" t="s">
        <v>74</v>
      </c>
      <c r="D57" s="8" t="s">
        <v>31</v>
      </c>
      <c r="E57" s="9">
        <f>I57*J57*K57</f>
        <v>0</v>
      </c>
      <c r="F57" s="10" t="e">
        <f>IF(C57="","",VLOOKUP(C57,#REF!,2,FALSE))</f>
        <v>#REF!</v>
      </c>
      <c r="G57" s="11" t="e">
        <f>E57*F57</f>
        <v>#REF!</v>
      </c>
      <c r="H57" s="438"/>
      <c r="I57" s="28">
        <v>160</v>
      </c>
      <c r="J57" s="28">
        <v>1</v>
      </c>
      <c r="K57" s="28">
        <v>0</v>
      </c>
      <c r="M57" s="28">
        <v>160</v>
      </c>
      <c r="N57" s="28">
        <v>1</v>
      </c>
      <c r="O57" s="28">
        <v>0</v>
      </c>
    </row>
    <row r="58" spans="1:15">
      <c r="A58" s="5" t="s">
        <v>87</v>
      </c>
      <c r="B58" s="6" t="e">
        <f>IF(C58="","",VLOOKUP(C58,#REF!,2,FALSE))</f>
        <v>#REF!</v>
      </c>
      <c r="C58" s="7" t="s">
        <v>49</v>
      </c>
      <c r="D58" s="8" t="s">
        <v>31</v>
      </c>
      <c r="E58" s="9">
        <f t="shared" si="7"/>
        <v>160</v>
      </c>
      <c r="F58" s="10" t="e">
        <f>IF(C58="","",VLOOKUP(C58,#REF!,2,FALSE))</f>
        <v>#REF!</v>
      </c>
      <c r="G58" s="11" t="e">
        <f t="shared" si="6"/>
        <v>#REF!</v>
      </c>
      <c r="H58" s="438"/>
      <c r="I58" s="28">
        <v>160</v>
      </c>
      <c r="J58" s="28">
        <v>1</v>
      </c>
      <c r="K58" s="28">
        <v>1</v>
      </c>
      <c r="M58" s="28">
        <v>160</v>
      </c>
      <c r="N58" s="28">
        <v>1</v>
      </c>
      <c r="O58" s="28">
        <v>1</v>
      </c>
    </row>
    <row r="59" spans="1:15">
      <c r="A59" s="5" t="s">
        <v>88</v>
      </c>
      <c r="B59" s="6" t="e">
        <f>IF(C59="","",VLOOKUP(C59,#REF!,2,FALSE))</f>
        <v>#REF!</v>
      </c>
      <c r="C59" s="7" t="s">
        <v>51</v>
      </c>
      <c r="D59" s="8" t="s">
        <v>31</v>
      </c>
      <c r="E59" s="9">
        <f t="shared" si="7"/>
        <v>160</v>
      </c>
      <c r="F59" s="10" t="e">
        <f>IF(C59="","",VLOOKUP(C59,#REF!,2,FALSE))</f>
        <v>#REF!</v>
      </c>
      <c r="G59" s="11" t="e">
        <f t="shared" si="6"/>
        <v>#REF!</v>
      </c>
      <c r="H59" s="438"/>
      <c r="I59" s="28">
        <v>160</v>
      </c>
      <c r="J59" s="28">
        <v>1</v>
      </c>
      <c r="K59" s="28">
        <v>1</v>
      </c>
      <c r="M59" s="28">
        <v>80</v>
      </c>
      <c r="N59" s="28">
        <v>1</v>
      </c>
      <c r="O59" s="28">
        <v>1</v>
      </c>
    </row>
    <row r="60" spans="1:15">
      <c r="A60" s="5" t="s">
        <v>89</v>
      </c>
      <c r="B60" s="6" t="e">
        <f>IF(C60="","",VLOOKUP(C60,#REF!,2,FALSE))</f>
        <v>#REF!</v>
      </c>
      <c r="C60" s="7" t="s">
        <v>53</v>
      </c>
      <c r="D60" s="8"/>
      <c r="E60" s="9">
        <f t="shared" si="7"/>
        <v>160</v>
      </c>
      <c r="F60" s="10" t="e">
        <f>IF(C60="","",VLOOKUP(C60,#REF!,2,FALSE))</f>
        <v>#REF!</v>
      </c>
      <c r="G60" s="11" t="e">
        <f t="shared" si="6"/>
        <v>#REF!</v>
      </c>
      <c r="H60" s="438"/>
      <c r="I60" s="28">
        <v>160</v>
      </c>
      <c r="J60" s="28">
        <v>1</v>
      </c>
      <c r="K60" s="28">
        <v>1</v>
      </c>
      <c r="M60" s="28">
        <v>160</v>
      </c>
      <c r="N60" s="28">
        <v>1</v>
      </c>
      <c r="O60" s="28">
        <v>1</v>
      </c>
    </row>
    <row r="61" spans="1:15">
      <c r="A61" s="5" t="s">
        <v>90</v>
      </c>
      <c r="B61" s="6" t="e">
        <f>IF(C61="","",VLOOKUP(C61,#REF!,2,FALSE))</f>
        <v>#REF!</v>
      </c>
      <c r="C61" s="7" t="s">
        <v>65</v>
      </c>
      <c r="D61" s="8"/>
      <c r="E61" s="9">
        <f t="shared" si="7"/>
        <v>160</v>
      </c>
      <c r="F61" s="10" t="e">
        <f>IF(C61="","",VLOOKUP(C61,#REF!,2,FALSE))</f>
        <v>#REF!</v>
      </c>
      <c r="G61" s="11" t="e">
        <f t="shared" si="6"/>
        <v>#REF!</v>
      </c>
      <c r="H61" s="438"/>
      <c r="I61" s="28">
        <v>160</v>
      </c>
      <c r="J61" s="28">
        <v>1</v>
      </c>
      <c r="K61" s="28">
        <v>1</v>
      </c>
      <c r="M61" s="28">
        <v>40</v>
      </c>
      <c r="N61" s="28">
        <v>1</v>
      </c>
      <c r="O61" s="28">
        <v>1</v>
      </c>
    </row>
    <row r="62" spans="1:15">
      <c r="A62" s="16">
        <v>5</v>
      </c>
      <c r="B62" s="696" t="s">
        <v>91</v>
      </c>
      <c r="C62" s="696"/>
      <c r="D62" s="696"/>
      <c r="E62" s="17"/>
      <c r="F62" s="17"/>
      <c r="G62" s="18" t="e">
        <f>SUM(G63:G70)</f>
        <v>#REF!</v>
      </c>
      <c r="H62" s="438"/>
      <c r="I62" s="435"/>
      <c r="J62" s="435"/>
      <c r="K62" s="435"/>
      <c r="L62" s="42">
        <v>1</v>
      </c>
      <c r="M62" s="395" t="s">
        <v>92</v>
      </c>
    </row>
    <row r="63" spans="1:15">
      <c r="A63" s="5" t="s">
        <v>93</v>
      </c>
      <c r="B63" s="6" t="s">
        <v>39</v>
      </c>
      <c r="C63" s="7"/>
      <c r="D63" s="8" t="s">
        <v>31</v>
      </c>
      <c r="E63" s="9">
        <f>I63*J63*K63</f>
        <v>0</v>
      </c>
      <c r="F63" s="10">
        <v>53.9</v>
      </c>
      <c r="G63" s="11">
        <f t="shared" ref="G63:G70" si="8">E63*F63</f>
        <v>0</v>
      </c>
      <c r="H63" s="438"/>
      <c r="I63" s="28">
        <v>160</v>
      </c>
      <c r="J63" s="28">
        <v>1</v>
      </c>
      <c r="K63" s="28">
        <v>0</v>
      </c>
    </row>
    <row r="64" spans="1:15">
      <c r="A64" s="5" t="s">
        <v>94</v>
      </c>
      <c r="B64" s="6" t="s">
        <v>41</v>
      </c>
      <c r="C64" s="7"/>
      <c r="D64" s="8" t="s">
        <v>31</v>
      </c>
      <c r="E64" s="9">
        <f t="shared" ref="E64:E70" si="9">I64*J64*K64</f>
        <v>20</v>
      </c>
      <c r="F64" s="10">
        <v>53.9</v>
      </c>
      <c r="G64" s="11">
        <f t="shared" si="8"/>
        <v>1078</v>
      </c>
      <c r="H64" s="438"/>
      <c r="I64" s="28">
        <v>20</v>
      </c>
      <c r="J64" s="28">
        <v>1</v>
      </c>
      <c r="K64" s="28">
        <v>1</v>
      </c>
    </row>
    <row r="65" spans="1:14">
      <c r="A65" s="5" t="s">
        <v>95</v>
      </c>
      <c r="B65" s="6" t="s">
        <v>43</v>
      </c>
      <c r="C65" s="7"/>
      <c r="D65" s="8" t="s">
        <v>31</v>
      </c>
      <c r="E65" s="9">
        <f t="shared" si="9"/>
        <v>0</v>
      </c>
      <c r="F65" s="10">
        <v>53.9</v>
      </c>
      <c r="G65" s="11">
        <f t="shared" si="8"/>
        <v>0</v>
      </c>
      <c r="H65" s="438"/>
      <c r="I65" s="28">
        <v>160</v>
      </c>
      <c r="J65" s="28">
        <v>1</v>
      </c>
      <c r="K65" s="28">
        <v>0</v>
      </c>
    </row>
    <row r="66" spans="1:14">
      <c r="A66" s="5" t="s">
        <v>96</v>
      </c>
      <c r="B66" s="6" t="e">
        <f>IF(C66="","",VLOOKUP(C66,#REF!,2,FALSE))</f>
        <v>#REF!</v>
      </c>
      <c r="C66" s="7" t="s">
        <v>45</v>
      </c>
      <c r="D66" s="8" t="s">
        <v>31</v>
      </c>
      <c r="E66" s="9">
        <f t="shared" si="9"/>
        <v>40</v>
      </c>
      <c r="F66" s="10" t="e">
        <f>IF(C66="","",VLOOKUP(C66,#REF!,2,FALSE))</f>
        <v>#REF!</v>
      </c>
      <c r="G66" s="11" t="e">
        <f t="shared" si="8"/>
        <v>#REF!</v>
      </c>
      <c r="H66" s="438"/>
      <c r="I66" s="28">
        <v>40</v>
      </c>
      <c r="J66" s="435">
        <v>1</v>
      </c>
      <c r="K66" s="28">
        <v>1</v>
      </c>
    </row>
    <row r="67" spans="1:14">
      <c r="A67" s="5" t="s">
        <v>97</v>
      </c>
      <c r="B67" s="6" t="e">
        <f>IF(C67="","",VLOOKUP(C67,#REF!,2,FALSE))</f>
        <v>#REF!</v>
      </c>
      <c r="C67" s="7" t="s">
        <v>47</v>
      </c>
      <c r="D67" s="8" t="s">
        <v>31</v>
      </c>
      <c r="E67" s="9">
        <f t="shared" si="9"/>
        <v>160</v>
      </c>
      <c r="F67" s="10" t="e">
        <f>IF(C67="","",VLOOKUP(C67,#REF!,2,FALSE))</f>
        <v>#REF!</v>
      </c>
      <c r="G67" s="11" t="e">
        <f t="shared" si="8"/>
        <v>#REF!</v>
      </c>
      <c r="H67" s="438"/>
      <c r="I67" s="28">
        <v>160</v>
      </c>
      <c r="J67" s="435">
        <v>1</v>
      </c>
      <c r="K67" s="28">
        <v>1</v>
      </c>
    </row>
    <row r="68" spans="1:14">
      <c r="A68" s="5" t="s">
        <v>98</v>
      </c>
      <c r="B68" s="6" t="e">
        <f>IF(C68="","",VLOOKUP(C68,#REF!,2,FALSE))</f>
        <v>#REF!</v>
      </c>
      <c r="C68" s="7" t="s">
        <v>49</v>
      </c>
      <c r="D68" s="8" t="s">
        <v>31</v>
      </c>
      <c r="E68" s="9">
        <f t="shared" si="9"/>
        <v>0</v>
      </c>
      <c r="F68" s="10" t="e">
        <f>IF(C68="","",VLOOKUP(C68,#REF!,2,FALSE))</f>
        <v>#REF!</v>
      </c>
      <c r="G68" s="11" t="e">
        <f t="shared" si="8"/>
        <v>#REF!</v>
      </c>
      <c r="H68" s="438"/>
      <c r="I68" s="28">
        <v>160</v>
      </c>
      <c r="J68" s="435">
        <v>1</v>
      </c>
      <c r="K68" s="28">
        <v>0</v>
      </c>
    </row>
    <row r="69" spans="1:14">
      <c r="A69" s="5" t="s">
        <v>99</v>
      </c>
      <c r="B69" s="6" t="e">
        <f>IF(C69="","",VLOOKUP(C69,#REF!,2,FALSE))</f>
        <v>#REF!</v>
      </c>
      <c r="C69" s="7" t="s">
        <v>51</v>
      </c>
      <c r="D69" s="8" t="s">
        <v>31</v>
      </c>
      <c r="E69" s="9">
        <f t="shared" si="9"/>
        <v>0</v>
      </c>
      <c r="F69" s="10" t="e">
        <f>IF(C69="","",VLOOKUP(C69,#REF!,2,FALSE))</f>
        <v>#REF!</v>
      </c>
      <c r="G69" s="11" t="e">
        <f t="shared" si="8"/>
        <v>#REF!</v>
      </c>
      <c r="H69" s="438"/>
      <c r="I69" s="28">
        <v>160</v>
      </c>
      <c r="J69" s="435">
        <v>1</v>
      </c>
      <c r="K69" s="28">
        <v>0</v>
      </c>
    </row>
    <row r="70" spans="1:14">
      <c r="A70" s="5" t="s">
        <v>100</v>
      </c>
      <c r="B70" s="6" t="e">
        <f>IF(C70="","",VLOOKUP(C70,#REF!,2,FALSE))</f>
        <v>#REF!</v>
      </c>
      <c r="C70" s="7" t="s">
        <v>53</v>
      </c>
      <c r="D70" s="8" t="s">
        <v>31</v>
      </c>
      <c r="E70" s="9">
        <f t="shared" si="9"/>
        <v>0</v>
      </c>
      <c r="F70" s="10" t="e">
        <f>IF(C70="","",VLOOKUP(C70,#REF!,2,FALSE))</f>
        <v>#REF!</v>
      </c>
      <c r="G70" s="11" t="e">
        <f t="shared" si="8"/>
        <v>#REF!</v>
      </c>
      <c r="H70" s="438"/>
      <c r="I70" s="28">
        <v>160</v>
      </c>
      <c r="J70" s="435">
        <v>1</v>
      </c>
      <c r="K70" s="28">
        <v>0</v>
      </c>
    </row>
    <row r="71" spans="1:14">
      <c r="A71" s="16">
        <v>6</v>
      </c>
      <c r="B71" s="696" t="s">
        <v>101</v>
      </c>
      <c r="C71" s="696"/>
      <c r="D71" s="696"/>
      <c r="E71" s="17"/>
      <c r="F71" s="17"/>
      <c r="G71" s="18" t="e">
        <f>SUM(G72:G76)</f>
        <v>#REF!</v>
      </c>
      <c r="H71" s="438"/>
      <c r="I71" s="435"/>
      <c r="J71" s="435"/>
      <c r="K71" s="435"/>
      <c r="L71" s="42">
        <v>1</v>
      </c>
      <c r="M71" s="395" t="s">
        <v>102</v>
      </c>
      <c r="N71" s="436" t="s">
        <v>103</v>
      </c>
    </row>
    <row r="72" spans="1:14">
      <c r="A72" s="5" t="s">
        <v>104</v>
      </c>
      <c r="B72" s="6" t="e">
        <f>IF(C72="","",VLOOKUP(C72,#REF!,2,FALSE))</f>
        <v>#REF!</v>
      </c>
      <c r="C72" s="7" t="s">
        <v>45</v>
      </c>
      <c r="D72" s="8" t="s">
        <v>31</v>
      </c>
      <c r="E72" s="9">
        <f>I72*J72*K72</f>
        <v>40</v>
      </c>
      <c r="F72" s="10" t="e">
        <f>IF(C72="","",VLOOKUP(C72,#REF!,2,FALSE))</f>
        <v>#REF!</v>
      </c>
      <c r="G72" s="11" t="e">
        <f>E72*F72</f>
        <v>#REF!</v>
      </c>
      <c r="H72" s="438"/>
      <c r="I72" s="28">
        <v>40</v>
      </c>
      <c r="J72" s="435">
        <v>1</v>
      </c>
      <c r="K72" s="435">
        <v>1</v>
      </c>
    </row>
    <row r="73" spans="1:14">
      <c r="A73" s="5" t="s">
        <v>105</v>
      </c>
      <c r="B73" s="6" t="e">
        <f>IF(C73="","",VLOOKUP(C73,#REF!,2,FALSE))</f>
        <v>#REF!</v>
      </c>
      <c r="C73" s="7" t="s">
        <v>47</v>
      </c>
      <c r="D73" s="8" t="s">
        <v>31</v>
      </c>
      <c r="E73" s="9">
        <f>I73*J73*K73</f>
        <v>160</v>
      </c>
      <c r="F73" s="10" t="e">
        <f>IF(C73="","",VLOOKUP(C73,#REF!,2,FALSE))</f>
        <v>#REF!</v>
      </c>
      <c r="G73" s="11" t="e">
        <f>E73*F73</f>
        <v>#REF!</v>
      </c>
      <c r="H73" s="438"/>
      <c r="I73" s="28">
        <v>160</v>
      </c>
      <c r="J73" s="435">
        <v>1</v>
      </c>
      <c r="K73" s="435">
        <v>1</v>
      </c>
    </row>
    <row r="74" spans="1:14">
      <c r="A74" s="5" t="s">
        <v>106</v>
      </c>
      <c r="B74" s="6" t="e">
        <f>IF(C74="","",VLOOKUP(C74,#REF!,2,FALSE))</f>
        <v>#REF!</v>
      </c>
      <c r="C74" s="7" t="s">
        <v>49</v>
      </c>
      <c r="D74" s="8" t="s">
        <v>31</v>
      </c>
      <c r="E74" s="9">
        <f>I74*J74*K74</f>
        <v>0</v>
      </c>
      <c r="F74" s="10" t="e">
        <f>IF(C74="","",VLOOKUP(C74,#REF!,2,FALSE))</f>
        <v>#REF!</v>
      </c>
      <c r="G74" s="11" t="e">
        <f>E74*F74</f>
        <v>#REF!</v>
      </c>
      <c r="H74" s="438"/>
      <c r="I74" s="28">
        <v>160</v>
      </c>
      <c r="J74" s="435">
        <v>1</v>
      </c>
      <c r="K74" s="435">
        <v>0</v>
      </c>
    </row>
    <row r="75" spans="1:14">
      <c r="A75" s="5" t="s">
        <v>107</v>
      </c>
      <c r="B75" s="6" t="s">
        <v>108</v>
      </c>
      <c r="C75" s="7"/>
      <c r="D75" s="8" t="s">
        <v>31</v>
      </c>
      <c r="E75" s="9">
        <f>I75*J75*K75</f>
        <v>160</v>
      </c>
      <c r="F75" s="10">
        <v>53.9</v>
      </c>
      <c r="G75" s="11">
        <f>E75*F75</f>
        <v>8624</v>
      </c>
      <c r="H75" s="438"/>
      <c r="I75" s="28">
        <v>160</v>
      </c>
      <c r="J75" s="435">
        <v>1</v>
      </c>
      <c r="K75" s="435">
        <v>1</v>
      </c>
    </row>
    <row r="76" spans="1:14">
      <c r="A76" s="5" t="s">
        <v>109</v>
      </c>
      <c r="B76" s="6" t="e">
        <f>IF(C76="","",VLOOKUP(C76,#REF!,2,FALSE))</f>
        <v>#REF!</v>
      </c>
      <c r="C76" s="7" t="s">
        <v>65</v>
      </c>
      <c r="D76" s="8" t="s">
        <v>31</v>
      </c>
      <c r="E76" s="9">
        <f>I76*J76*K76</f>
        <v>40</v>
      </c>
      <c r="F76" s="10" t="e">
        <f>IF(C76="","",VLOOKUP(C76,#REF!,2,FALSE))</f>
        <v>#REF!</v>
      </c>
      <c r="G76" s="11" t="e">
        <f>E76*F76</f>
        <v>#REF!</v>
      </c>
      <c r="H76" s="438"/>
      <c r="I76" s="28">
        <v>40</v>
      </c>
      <c r="J76" s="435">
        <v>1</v>
      </c>
      <c r="K76" s="435">
        <v>1</v>
      </c>
    </row>
    <row r="77" spans="1:14" hidden="1">
      <c r="A77" s="697" t="s">
        <v>110</v>
      </c>
      <c r="B77" s="698"/>
      <c r="C77" s="698"/>
      <c r="D77" s="698"/>
      <c r="E77" s="698"/>
      <c r="F77" s="698"/>
      <c r="G77" s="11" t="e">
        <f>((G17/10)*9)+SUM(G21,G30,G40,#REF!,G51,#REF!,#REF!,G62,G71)</f>
        <v>#REF!</v>
      </c>
      <c r="H77" s="438"/>
      <c r="J77" s="435"/>
      <c r="K77" s="435"/>
    </row>
    <row r="78" spans="1:14" hidden="1">
      <c r="A78" s="697" t="s">
        <v>111</v>
      </c>
      <c r="B78" s="698"/>
      <c r="C78" s="698"/>
      <c r="D78" s="698"/>
      <c r="E78" s="698"/>
      <c r="F78" s="698"/>
      <c r="G78" s="11" t="e">
        <f>G77*1.16</f>
        <v>#REF!</v>
      </c>
      <c r="H78" s="438"/>
      <c r="J78" s="435"/>
      <c r="K78" s="435"/>
    </row>
    <row r="79" spans="1:14">
      <c r="A79" s="26"/>
      <c r="B79" s="439"/>
      <c r="C79" s="440"/>
      <c r="D79" s="441"/>
      <c r="E79" s="442"/>
      <c r="F79" s="443"/>
      <c r="G79" s="444"/>
      <c r="H79" s="3"/>
      <c r="I79" s="24"/>
      <c r="J79" s="4"/>
      <c r="K79" s="15"/>
      <c r="L79" s="42">
        <f>SUM(L21:L78)</f>
        <v>6</v>
      </c>
      <c r="M79" s="395" t="s">
        <v>112</v>
      </c>
    </row>
    <row r="80" spans="1:14">
      <c r="A80" s="26"/>
      <c r="B80" s="25" t="s">
        <v>113</v>
      </c>
      <c r="C80" s="20"/>
      <c r="D80" s="20"/>
      <c r="E80" s="21"/>
      <c r="F80" s="22"/>
      <c r="G80" s="23" t="e">
        <f>SUM(G71,G62,G51,,G40,G30,G21,G17)</f>
        <v>#REF!</v>
      </c>
      <c r="H80" s="438"/>
      <c r="I80" s="435"/>
      <c r="J80" s="435"/>
      <c r="K80" s="435"/>
    </row>
    <row r="81" spans="1:11">
      <c r="A81" s="27"/>
      <c r="B81" s="25" t="s">
        <v>114</v>
      </c>
      <c r="C81" s="20"/>
      <c r="D81" s="20"/>
      <c r="E81" s="21"/>
      <c r="F81" s="22"/>
      <c r="G81" s="23" t="e">
        <f>G80*0.08</f>
        <v>#REF!</v>
      </c>
      <c r="H81" s="438"/>
      <c r="I81" s="435"/>
      <c r="J81" s="435"/>
      <c r="K81" s="435"/>
    </row>
    <row r="82" spans="1:11">
      <c r="A82" s="27"/>
      <c r="B82" s="25" t="s">
        <v>115</v>
      </c>
      <c r="C82" s="20"/>
      <c r="D82" s="20"/>
      <c r="E82" s="21"/>
      <c r="F82" s="22"/>
      <c r="G82" s="23" t="e">
        <f>SUM(G80:G81)</f>
        <v>#REF!</v>
      </c>
      <c r="H82" s="438"/>
      <c r="I82" s="435"/>
      <c r="J82" s="435"/>
      <c r="K82" s="435"/>
    </row>
  </sheetData>
  <mergeCells count="20">
    <mergeCell ref="G15:G16"/>
    <mergeCell ref="B62:D62"/>
    <mergeCell ref="B71:D71"/>
    <mergeCell ref="A77:F77"/>
    <mergeCell ref="A78:F78"/>
    <mergeCell ref="B51:F51"/>
    <mergeCell ref="B17:D17"/>
    <mergeCell ref="B21:D21"/>
    <mergeCell ref="B30:D30"/>
    <mergeCell ref="B40:F40"/>
    <mergeCell ref="A15:A16"/>
    <mergeCell ref="B15:B16"/>
    <mergeCell ref="C15:C16"/>
    <mergeCell ref="D15:D16"/>
    <mergeCell ref="E15:E16"/>
    <mergeCell ref="A1:G9"/>
    <mergeCell ref="A10:G10"/>
    <mergeCell ref="A11:G11"/>
    <mergeCell ref="B13:F13"/>
    <mergeCell ref="A14:G14"/>
  </mergeCells>
  <phoneticPr fontId="16" type="noConversion"/>
  <pageMargins left="1.02" right="0.39370078740157483" top="0.39370078740157483" bottom="0.39370078740157483" header="0" footer="0"/>
  <pageSetup paperSize="9" scale="73" orientation="portrait" r:id="rId1"/>
  <headerFooter scaleWithDoc="0">
    <oddFooter>&amp;C&amp;P</oddFooter>
    <firstFooter>Página &amp;P</first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9:K55"/>
  <sheetViews>
    <sheetView view="pageBreakPreview" topLeftCell="A4" zoomScaleSheetLayoutView="100" workbookViewId="0">
      <selection activeCell="D18" sqref="D18:H26"/>
    </sheetView>
  </sheetViews>
  <sheetFormatPr defaultRowHeight="13.15"/>
  <cols>
    <col min="1" max="1" width="71.42578125" customWidth="1"/>
    <col min="2" max="2" width="14.28515625" style="1" bestFit="1" customWidth="1"/>
    <col min="3" max="7" width="11.7109375" style="1" customWidth="1"/>
    <col min="8" max="8" width="11.7109375" customWidth="1"/>
  </cols>
  <sheetData>
    <row r="9" spans="1:8">
      <c r="A9" s="709" t="s">
        <v>116</v>
      </c>
      <c r="B9" s="709"/>
      <c r="C9" s="709"/>
      <c r="D9" s="709"/>
      <c r="E9" s="709"/>
      <c r="F9" s="709"/>
      <c r="G9" s="709"/>
      <c r="H9" s="709"/>
    </row>
    <row r="10" spans="1:8" ht="12.75" customHeight="1">
      <c r="A10" s="710" t="s">
        <v>117</v>
      </c>
      <c r="B10" s="710"/>
      <c r="C10" s="710"/>
      <c r="D10" s="710"/>
      <c r="E10" s="710"/>
      <c r="F10" s="710"/>
      <c r="G10" s="710"/>
      <c r="H10" s="710"/>
    </row>
    <row r="11" spans="1:8" ht="13.9" thickBot="1">
      <c r="A11" s="710"/>
      <c r="B11" s="710"/>
      <c r="C11" s="710"/>
      <c r="D11" s="710"/>
      <c r="E11" s="710"/>
      <c r="F11" s="710"/>
      <c r="G11" s="710"/>
      <c r="H11" s="710"/>
    </row>
    <row r="12" spans="1:8" ht="13.9" thickBot="1">
      <c r="A12" s="37" t="s">
        <v>118</v>
      </c>
      <c r="B12" s="445" t="s">
        <v>119</v>
      </c>
      <c r="C12" s="711" t="s">
        <v>120</v>
      </c>
      <c r="D12" s="711"/>
      <c r="E12" s="711"/>
      <c r="F12" s="711"/>
      <c r="G12" s="711"/>
      <c r="H12" s="711"/>
    </row>
    <row r="13" spans="1:8">
      <c r="A13" s="446"/>
      <c r="C13" s="38">
        <v>30</v>
      </c>
      <c r="D13" s="39">
        <v>60</v>
      </c>
      <c r="E13" s="39">
        <v>90</v>
      </c>
      <c r="F13" s="39">
        <v>120</v>
      </c>
      <c r="G13" s="39">
        <v>150</v>
      </c>
      <c r="H13" s="39">
        <v>180</v>
      </c>
    </row>
    <row r="14" spans="1:8">
      <c r="A14" s="43"/>
      <c r="B14"/>
      <c r="C14" s="44"/>
      <c r="D14" s="44"/>
      <c r="E14" s="44"/>
      <c r="F14" s="44"/>
      <c r="G14" s="44"/>
      <c r="H14" s="44"/>
    </row>
    <row r="15" spans="1:8" ht="12" customHeight="1">
      <c r="A15" s="703" t="s">
        <v>121</v>
      </c>
      <c r="B15" s="705" t="e">
        <f>'Orç_20-30'!$G$17/6</f>
        <v>#REF!</v>
      </c>
      <c r="C15" s="46"/>
      <c r="D15" s="31"/>
      <c r="E15" s="31"/>
      <c r="F15" s="31"/>
      <c r="G15" s="31"/>
      <c r="H15" s="47"/>
    </row>
    <row r="16" spans="1:8" ht="12" customHeight="1">
      <c r="A16" s="707"/>
      <c r="B16" s="708"/>
      <c r="C16" s="45" t="e">
        <f>('Orç_20-30'!G21+('Crono_20-30'!B15*1))*1.08</f>
        <v>#REF!</v>
      </c>
      <c r="D16" s="44"/>
      <c r="E16" s="44"/>
      <c r="F16" s="44"/>
      <c r="G16" s="44"/>
      <c r="H16" s="48"/>
    </row>
    <row r="17" spans="1:8" ht="12" customHeight="1">
      <c r="A17" s="703" t="s">
        <v>122</v>
      </c>
      <c r="B17" s="705" t="e">
        <f>'Orç_20-30'!$G$17/6</f>
        <v>#REF!</v>
      </c>
      <c r="C17" s="31"/>
      <c r="D17" s="46"/>
      <c r="E17" s="31"/>
      <c r="F17" s="31"/>
      <c r="G17" s="31"/>
      <c r="H17" s="47"/>
    </row>
    <row r="18" spans="1:8" ht="12" customHeight="1">
      <c r="A18" s="707"/>
      <c r="B18" s="708"/>
      <c r="C18" s="44"/>
      <c r="D18" s="45" t="e">
        <f>('Orç_20-30'!G30+('Crono_20-30'!B17*1))*1.08</f>
        <v>#REF!</v>
      </c>
      <c r="E18" s="44"/>
      <c r="F18" s="44"/>
      <c r="G18" s="44"/>
      <c r="H18" s="48"/>
    </row>
    <row r="19" spans="1:8" ht="12" customHeight="1">
      <c r="A19" s="703" t="s">
        <v>123</v>
      </c>
      <c r="B19" s="705" t="e">
        <f>'Orç_20-30'!$G$17/6</f>
        <v>#REF!</v>
      </c>
      <c r="C19" s="31"/>
      <c r="D19" s="31"/>
      <c r="E19" s="46"/>
      <c r="F19" s="31"/>
      <c r="G19" s="31"/>
      <c r="H19" s="47"/>
    </row>
    <row r="20" spans="1:8" ht="12" customHeight="1">
      <c r="A20" s="707"/>
      <c r="B20" s="708"/>
      <c r="C20" s="44"/>
      <c r="D20" s="44"/>
      <c r="E20" s="45" t="e">
        <f>('Orç_20-30'!G40+('Crono_20-30'!B19*1))*1.08</f>
        <v>#REF!</v>
      </c>
      <c r="F20" s="44"/>
      <c r="G20" s="44"/>
      <c r="H20" s="48"/>
    </row>
    <row r="21" spans="1:8" ht="12" customHeight="1">
      <c r="A21" s="703" t="s">
        <v>124</v>
      </c>
      <c r="B21" s="705" t="e">
        <f>'Orç_20-30'!$G$17/6</f>
        <v>#REF!</v>
      </c>
      <c r="C21" s="31"/>
      <c r="D21" s="31"/>
      <c r="E21" s="31"/>
      <c r="F21" s="46"/>
      <c r="G21" s="31"/>
      <c r="H21" s="47"/>
    </row>
    <row r="22" spans="1:8" ht="12" customHeight="1">
      <c r="A22" s="707"/>
      <c r="B22" s="708"/>
      <c r="C22" s="44"/>
      <c r="D22" s="44"/>
      <c r="E22" s="44"/>
      <c r="F22" s="45" t="e">
        <f>('Orç_20-30'!G51+('Crono_20-30'!B21*1))*1.08</f>
        <v>#REF!</v>
      </c>
      <c r="G22" s="44"/>
      <c r="H22" s="48"/>
    </row>
    <row r="23" spans="1:8" ht="12" customHeight="1">
      <c r="A23" s="703" t="s">
        <v>125</v>
      </c>
      <c r="B23" s="705" t="e">
        <f>'Orç_20-30'!$G$17/6</f>
        <v>#REF!</v>
      </c>
      <c r="C23" s="31"/>
      <c r="D23" s="31"/>
      <c r="E23" s="31"/>
      <c r="F23" s="31"/>
      <c r="G23" s="46"/>
      <c r="H23" s="47"/>
    </row>
    <row r="24" spans="1:8" ht="12" customHeight="1">
      <c r="A24" s="707"/>
      <c r="B24" s="708"/>
      <c r="C24" s="44"/>
      <c r="D24" s="44"/>
      <c r="E24" s="44"/>
      <c r="F24" s="44"/>
      <c r="G24" s="45" t="e">
        <f>('Orç_20-30'!G62+('Crono_20-30'!B23*1))*1.08</f>
        <v>#REF!</v>
      </c>
      <c r="H24" s="48"/>
    </row>
    <row r="25" spans="1:8" ht="12" customHeight="1">
      <c r="A25" s="703" t="s">
        <v>126</v>
      </c>
      <c r="B25" s="705" t="e">
        <f>'Orç_20-30'!$G$17/6</f>
        <v>#REF!</v>
      </c>
      <c r="C25" s="31"/>
      <c r="D25" s="31"/>
      <c r="E25" s="31"/>
      <c r="F25" s="31"/>
      <c r="G25" s="31"/>
      <c r="H25" s="49"/>
    </row>
    <row r="26" spans="1:8" ht="12" customHeight="1">
      <c r="A26" s="704"/>
      <c r="B26" s="706"/>
      <c r="C26" s="30"/>
      <c r="D26" s="30"/>
      <c r="E26" s="30"/>
      <c r="F26" s="30"/>
      <c r="G26" s="30"/>
      <c r="H26" s="50" t="e">
        <f>('Orç_20-30'!G71+('Crono_20-30'!B25*1))*1.08</f>
        <v>#REF!</v>
      </c>
    </row>
    <row r="27" spans="1:8">
      <c r="A27" s="447" t="s">
        <v>127</v>
      </c>
      <c r="B27" s="29"/>
      <c r="C27" s="30" t="e">
        <f t="shared" ref="C27:H27" si="0">SUM(C15:C26)</f>
        <v>#REF!</v>
      </c>
      <c r="D27" s="30" t="e">
        <f t="shared" si="0"/>
        <v>#REF!</v>
      </c>
      <c r="E27" s="30" t="e">
        <f t="shared" si="0"/>
        <v>#REF!</v>
      </c>
      <c r="F27" s="30" t="e">
        <f t="shared" si="0"/>
        <v>#REF!</v>
      </c>
      <c r="G27" s="30" t="e">
        <f t="shared" si="0"/>
        <v>#REF!</v>
      </c>
      <c r="H27" s="30" t="e">
        <f t="shared" si="0"/>
        <v>#REF!</v>
      </c>
    </row>
    <row r="28" spans="1:8">
      <c r="A28" s="448" t="s">
        <v>128</v>
      </c>
      <c r="B28" s="33"/>
      <c r="C28" s="32" t="e">
        <f>SUM(C27)</f>
        <v>#REF!</v>
      </c>
      <c r="D28" s="32" t="e">
        <f>SUM(C27:D27)</f>
        <v>#REF!</v>
      </c>
      <c r="E28" s="32" t="e">
        <f>SUM(C27:E27)</f>
        <v>#REF!</v>
      </c>
      <c r="F28" s="32" t="e">
        <f>SUM(C27:F27)</f>
        <v>#REF!</v>
      </c>
      <c r="G28" s="32" t="e">
        <f>SUM(C27:G27)</f>
        <v>#REF!</v>
      </c>
      <c r="H28" s="32" t="e">
        <f>SUM(C27:H27)</f>
        <v>#REF!</v>
      </c>
    </row>
    <row r="29" spans="1:8">
      <c r="A29" s="448" t="s">
        <v>129</v>
      </c>
      <c r="B29" s="33"/>
      <c r="C29" s="32" t="e">
        <f>(C27/$H$28)*100</f>
        <v>#REF!</v>
      </c>
      <c r="D29" s="32" t="e">
        <f t="shared" ref="D29:H30" si="1">(D27/$H$28)*100</f>
        <v>#REF!</v>
      </c>
      <c r="E29" s="32" t="e">
        <f t="shared" si="1"/>
        <v>#REF!</v>
      </c>
      <c r="F29" s="32" t="e">
        <f t="shared" si="1"/>
        <v>#REF!</v>
      </c>
      <c r="G29" s="32" t="e">
        <f t="shared" si="1"/>
        <v>#REF!</v>
      </c>
      <c r="H29" s="32" t="e">
        <f t="shared" si="1"/>
        <v>#REF!</v>
      </c>
    </row>
    <row r="30" spans="1:8">
      <c r="A30" s="448" t="s">
        <v>130</v>
      </c>
      <c r="B30" s="33"/>
      <c r="C30" s="32" t="e">
        <f>(C28/$H$28)*100</f>
        <v>#REF!</v>
      </c>
      <c r="D30" s="32" t="e">
        <f t="shared" si="1"/>
        <v>#REF!</v>
      </c>
      <c r="E30" s="32" t="e">
        <f t="shared" si="1"/>
        <v>#REF!</v>
      </c>
      <c r="F30" s="32" t="e">
        <f t="shared" si="1"/>
        <v>#REF!</v>
      </c>
      <c r="G30" s="32" t="e">
        <f t="shared" si="1"/>
        <v>#REF!</v>
      </c>
      <c r="H30" s="32" t="e">
        <f t="shared" si="1"/>
        <v>#REF!</v>
      </c>
    </row>
    <row r="34" spans="1:11" ht="13.9">
      <c r="A34" s="40"/>
    </row>
    <row r="35" spans="1:11" ht="13.9">
      <c r="A35" s="40"/>
    </row>
    <row r="36" spans="1:11" ht="13.9">
      <c r="A36" s="40"/>
    </row>
    <row r="37" spans="1:11" ht="13.9">
      <c r="A37" s="40"/>
    </row>
    <row r="38" spans="1:11" ht="13.9">
      <c r="A38" s="40"/>
    </row>
    <row r="39" spans="1:11" ht="13.9">
      <c r="A39" s="40"/>
    </row>
    <row r="40" spans="1:11" ht="13.9">
      <c r="A40" s="40"/>
    </row>
    <row r="41" spans="1:11" ht="13.9">
      <c r="A41" s="40"/>
    </row>
    <row r="42" spans="1:11" ht="13.9">
      <c r="A42" s="40"/>
    </row>
    <row r="43" spans="1:11" ht="13.9">
      <c r="A43" s="40"/>
    </row>
    <row r="44" spans="1:11" ht="13.9">
      <c r="A44" s="40"/>
    </row>
    <row r="45" spans="1:11" s="1" customFormat="1" ht="13.9">
      <c r="A45" s="40"/>
      <c r="H45"/>
      <c r="I45"/>
      <c r="J45"/>
      <c r="K45"/>
    </row>
    <row r="46" spans="1:11" s="1" customFormat="1">
      <c r="A46" s="41"/>
      <c r="H46"/>
      <c r="I46"/>
      <c r="J46"/>
      <c r="K46"/>
    </row>
    <row r="47" spans="1:11" s="1" customFormat="1">
      <c r="A47" s="41"/>
      <c r="H47"/>
      <c r="I47"/>
      <c r="J47"/>
      <c r="K47"/>
    </row>
    <row r="48" spans="1:11" s="1" customFormat="1">
      <c r="A48"/>
      <c r="H48"/>
      <c r="I48"/>
      <c r="J48"/>
      <c r="K48"/>
    </row>
    <row r="49" spans="1:11" s="1" customFormat="1">
      <c r="A49"/>
      <c r="H49"/>
      <c r="I49"/>
      <c r="J49"/>
      <c r="K49"/>
    </row>
    <row r="50" spans="1:11" s="1" customFormat="1">
      <c r="A50"/>
      <c r="H50"/>
      <c r="I50"/>
      <c r="J50"/>
      <c r="K50"/>
    </row>
    <row r="51" spans="1:11" s="1" customFormat="1">
      <c r="A51"/>
      <c r="H51"/>
      <c r="I51"/>
      <c r="J51"/>
      <c r="K51"/>
    </row>
    <row r="52" spans="1:11" s="1" customFormat="1">
      <c r="A52"/>
      <c r="H52"/>
      <c r="I52"/>
      <c r="J52"/>
      <c r="K52"/>
    </row>
    <row r="53" spans="1:11" s="1" customFormat="1">
      <c r="A53"/>
      <c r="H53"/>
      <c r="I53"/>
      <c r="J53"/>
      <c r="K53"/>
    </row>
    <row r="54" spans="1:11" s="1" customFormat="1">
      <c r="A54"/>
      <c r="H54"/>
      <c r="I54"/>
      <c r="J54"/>
      <c r="K54"/>
    </row>
    <row r="55" spans="1:11" s="1" customFormat="1">
      <c r="A55"/>
      <c r="H55"/>
      <c r="I55"/>
      <c r="J55"/>
      <c r="K55"/>
    </row>
  </sheetData>
  <mergeCells count="15">
    <mergeCell ref="A17:A18"/>
    <mergeCell ref="B17:B18"/>
    <mergeCell ref="A9:H9"/>
    <mergeCell ref="A10:H11"/>
    <mergeCell ref="C12:H12"/>
    <mergeCell ref="A15:A16"/>
    <mergeCell ref="B15:B16"/>
    <mergeCell ref="A25:A26"/>
    <mergeCell ref="B25:B26"/>
    <mergeCell ref="A19:A20"/>
    <mergeCell ref="B19:B20"/>
    <mergeCell ref="A21:A22"/>
    <mergeCell ref="B21:B22"/>
    <mergeCell ref="A23:A24"/>
    <mergeCell ref="B23:B24"/>
  </mergeCells>
  <phoneticPr fontId="16" type="noConversion"/>
  <pageMargins left="0.19685039370078741" right="0.19685039370078741" top="0.19685039370078741" bottom="0.19685039370078741" header="0" footer="0"/>
  <pageSetup paperSize="9" scale="9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8" tint="-0.249977111117893"/>
  </sheetPr>
  <dimension ref="A1:J80"/>
  <sheetViews>
    <sheetView showGridLines="0" view="pageBreakPreview" topLeftCell="A30" zoomScaleNormal="100" zoomScaleSheetLayoutView="100" zoomScalePageLayoutView="55" workbookViewId="0">
      <selection activeCell="D1" sqref="D1:I4"/>
    </sheetView>
  </sheetViews>
  <sheetFormatPr defaultColWidth="8.42578125" defaultRowHeight="15.6"/>
  <cols>
    <col min="1" max="10" width="9.5703125" style="53" customWidth="1"/>
    <col min="11" max="16384" width="8.42578125" style="53"/>
  </cols>
  <sheetData>
    <row r="1" spans="1:10" ht="14.45" customHeight="1">
      <c r="A1" s="52"/>
      <c r="B1" s="52"/>
      <c r="C1" s="52"/>
      <c r="D1" s="714" t="s">
        <v>131</v>
      </c>
      <c r="E1" s="714"/>
      <c r="F1" s="714"/>
      <c r="G1" s="714"/>
      <c r="H1" s="714"/>
      <c r="I1" s="714"/>
    </row>
    <row r="2" spans="1:10" ht="14.45" customHeight="1">
      <c r="D2" s="714"/>
      <c r="E2" s="714"/>
      <c r="F2" s="714"/>
      <c r="G2" s="714"/>
      <c r="H2" s="714"/>
      <c r="I2" s="714"/>
      <c r="J2" s="56"/>
    </row>
    <row r="3" spans="1:10" ht="14.45" customHeight="1">
      <c r="D3" s="714"/>
      <c r="E3" s="714"/>
      <c r="F3" s="714"/>
      <c r="G3" s="714"/>
      <c r="H3" s="714"/>
      <c r="I3" s="714"/>
      <c r="J3" s="56"/>
    </row>
    <row r="4" spans="1:10" ht="14.45" customHeight="1">
      <c r="D4" s="714"/>
      <c r="E4" s="714"/>
      <c r="F4" s="714"/>
      <c r="G4" s="714"/>
      <c r="H4" s="714"/>
      <c r="I4" s="714"/>
    </row>
    <row r="5" spans="1:10" ht="14.45" customHeight="1">
      <c r="D5" s="55"/>
      <c r="E5" s="55"/>
      <c r="F5" s="55"/>
      <c r="G5" s="55"/>
      <c r="H5" s="55"/>
      <c r="I5" s="55"/>
    </row>
    <row r="6" spans="1:10" ht="14.45" customHeight="1">
      <c r="D6" s="55"/>
      <c r="E6" s="55"/>
      <c r="G6" s="55"/>
      <c r="H6" s="55"/>
      <c r="I6" s="55"/>
    </row>
    <row r="7" spans="1:10" ht="14.45" customHeight="1">
      <c r="A7" s="716" t="s">
        <v>132</v>
      </c>
      <c r="B7" s="716"/>
      <c r="C7" s="712" t="s">
        <v>133</v>
      </c>
      <c r="D7" s="712"/>
      <c r="E7" s="712"/>
      <c r="F7" s="712"/>
      <c r="G7" s="712"/>
      <c r="H7" s="712"/>
      <c r="I7" s="712"/>
      <c r="J7" s="712"/>
    </row>
    <row r="8" spans="1:10" ht="14.45" customHeight="1">
      <c r="A8" s="716"/>
      <c r="B8" s="716"/>
      <c r="C8" s="712"/>
      <c r="D8" s="712"/>
      <c r="E8" s="712"/>
      <c r="F8" s="712"/>
      <c r="G8" s="712"/>
      <c r="H8" s="712"/>
      <c r="I8" s="712"/>
      <c r="J8" s="712"/>
    </row>
    <row r="9" spans="1:10" ht="14.45" customHeight="1">
      <c r="A9" s="716"/>
      <c r="B9" s="716"/>
      <c r="C9" s="712"/>
      <c r="D9" s="712"/>
      <c r="E9" s="712"/>
      <c r="F9" s="712"/>
      <c r="G9" s="712"/>
      <c r="H9" s="712"/>
      <c r="I9" s="712"/>
      <c r="J9" s="712"/>
    </row>
    <row r="10" spans="1:10" ht="14.45" customHeight="1">
      <c r="A10" s="716"/>
      <c r="B10" s="716"/>
      <c r="C10" s="712"/>
      <c r="D10" s="712"/>
      <c r="E10" s="712"/>
      <c r="F10" s="712"/>
      <c r="G10" s="712"/>
      <c r="H10" s="712"/>
      <c r="I10" s="712"/>
      <c r="J10" s="712"/>
    </row>
    <row r="11" spans="1:10" ht="14.45" customHeight="1">
      <c r="A11" s="716"/>
      <c r="B11" s="716"/>
      <c r="C11" s="712"/>
      <c r="D11" s="712"/>
      <c r="E11" s="712"/>
      <c r="F11" s="712"/>
      <c r="G11" s="712"/>
      <c r="H11" s="712"/>
      <c r="I11" s="712"/>
      <c r="J11" s="712"/>
    </row>
    <row r="12" spans="1:10" ht="14.45" customHeight="1">
      <c r="A12" s="716"/>
      <c r="B12" s="716"/>
      <c r="C12" s="712"/>
      <c r="D12" s="712"/>
      <c r="E12" s="712"/>
      <c r="F12" s="712"/>
      <c r="G12" s="712"/>
      <c r="H12" s="712"/>
      <c r="I12" s="712"/>
      <c r="J12" s="712"/>
    </row>
    <row r="13" spans="1:10" ht="14.45" customHeight="1">
      <c r="A13" s="716"/>
      <c r="B13" s="716"/>
      <c r="C13" s="712"/>
      <c r="D13" s="712"/>
      <c r="E13" s="712"/>
      <c r="F13" s="712"/>
      <c r="G13" s="712"/>
      <c r="H13" s="712"/>
      <c r="I13" s="712"/>
      <c r="J13" s="712"/>
    </row>
    <row r="14" spans="1:10" ht="14.45" customHeight="1">
      <c r="A14" s="390"/>
      <c r="B14" s="390"/>
      <c r="C14" s="391"/>
      <c r="D14" s="57"/>
      <c r="E14" s="57"/>
      <c r="F14" s="57"/>
      <c r="G14" s="57"/>
      <c r="H14" s="57"/>
      <c r="I14" s="57"/>
      <c r="J14" s="391"/>
    </row>
    <row r="15" spans="1:10" ht="14.45" customHeight="1">
      <c r="A15" s="716" t="s">
        <v>134</v>
      </c>
      <c r="B15" s="716"/>
      <c r="C15" s="712" t="s">
        <v>135</v>
      </c>
      <c r="D15" s="712"/>
      <c r="E15" s="712"/>
      <c r="F15" s="712"/>
      <c r="G15" s="712"/>
      <c r="H15" s="712"/>
      <c r="I15" s="712"/>
      <c r="J15" s="712"/>
    </row>
    <row r="16" spans="1:10" ht="14.45" customHeight="1">
      <c r="A16" s="716"/>
      <c r="B16" s="716"/>
      <c r="C16" s="712"/>
      <c r="D16" s="712"/>
      <c r="E16" s="712"/>
      <c r="F16" s="712"/>
      <c r="G16" s="712"/>
      <c r="H16" s="712"/>
      <c r="I16" s="712"/>
      <c r="J16" s="712"/>
    </row>
    <row r="17" spans="1:10" ht="14.45" customHeight="1">
      <c r="A17" s="716"/>
      <c r="B17" s="716"/>
      <c r="C17" s="712"/>
      <c r="D17" s="712"/>
      <c r="E17" s="712"/>
      <c r="F17" s="712"/>
      <c r="G17" s="712"/>
      <c r="H17" s="712"/>
      <c r="I17" s="712"/>
      <c r="J17" s="712"/>
    </row>
    <row r="18" spans="1:10" ht="14.45" customHeight="1">
      <c r="A18" s="716"/>
      <c r="B18" s="716"/>
      <c r="C18" s="712"/>
      <c r="D18" s="712"/>
      <c r="E18" s="712"/>
      <c r="F18" s="712"/>
      <c r="G18" s="712"/>
      <c r="H18" s="712"/>
      <c r="I18" s="712"/>
      <c r="J18" s="712"/>
    </row>
    <row r="19" spans="1:10" ht="14.45" customHeight="1">
      <c r="A19" s="716"/>
      <c r="B19" s="716"/>
      <c r="C19" s="712"/>
      <c r="D19" s="712"/>
      <c r="E19" s="712"/>
      <c r="F19" s="712"/>
      <c r="G19" s="712"/>
      <c r="H19" s="712"/>
      <c r="I19" s="712"/>
      <c r="J19" s="712"/>
    </row>
    <row r="20" spans="1:10" ht="14.45" customHeight="1">
      <c r="A20" s="716"/>
      <c r="B20" s="716"/>
      <c r="C20" s="712"/>
      <c r="D20" s="712"/>
      <c r="E20" s="712"/>
      <c r="F20" s="712"/>
      <c r="G20" s="712"/>
      <c r="H20" s="712"/>
      <c r="I20" s="712"/>
      <c r="J20" s="712"/>
    </row>
    <row r="21" spans="1:10" ht="14.45" customHeight="1">
      <c r="A21" s="716"/>
      <c r="B21" s="716"/>
      <c r="C21" s="712"/>
      <c r="D21" s="712"/>
      <c r="E21" s="712"/>
      <c r="F21" s="712"/>
      <c r="G21" s="712"/>
      <c r="H21" s="712"/>
      <c r="I21" s="712"/>
      <c r="J21" s="712"/>
    </row>
    <row r="22" spans="1:10" ht="14.45" customHeight="1">
      <c r="A22" s="716"/>
      <c r="B22" s="716"/>
      <c r="C22" s="712"/>
      <c r="D22" s="712"/>
      <c r="E22" s="712"/>
      <c r="F22" s="712"/>
      <c r="G22" s="712"/>
      <c r="H22" s="712"/>
      <c r="I22" s="712"/>
      <c r="J22" s="712"/>
    </row>
    <row r="23" spans="1:10" ht="14.45" customHeight="1">
      <c r="A23" s="716"/>
      <c r="B23" s="716"/>
      <c r="C23" s="712"/>
      <c r="D23" s="712"/>
      <c r="E23" s="712"/>
      <c r="F23" s="712"/>
      <c r="G23" s="712"/>
      <c r="H23" s="712"/>
      <c r="I23" s="712"/>
      <c r="J23" s="712"/>
    </row>
    <row r="24" spans="1:10" ht="14.45" customHeight="1">
      <c r="A24" s="390"/>
      <c r="B24" s="390"/>
      <c r="C24" s="391"/>
      <c r="D24" s="391"/>
      <c r="E24" s="57"/>
      <c r="F24" s="57"/>
      <c r="G24" s="57"/>
      <c r="H24" s="57"/>
      <c r="I24" s="57"/>
      <c r="J24" s="391"/>
    </row>
    <row r="25" spans="1:10" ht="14.45" customHeight="1">
      <c r="A25" s="715" t="s">
        <v>136</v>
      </c>
      <c r="B25" s="715"/>
      <c r="C25" s="712" t="s">
        <v>137</v>
      </c>
      <c r="D25" s="712"/>
      <c r="E25" s="712"/>
      <c r="F25" s="712"/>
      <c r="G25" s="712"/>
      <c r="H25" s="712"/>
      <c r="I25" s="712"/>
      <c r="J25" s="712"/>
    </row>
    <row r="26" spans="1:10" ht="14.45" customHeight="1">
      <c r="A26" s="715"/>
      <c r="B26" s="715"/>
      <c r="C26" s="712"/>
      <c r="D26" s="712"/>
      <c r="E26" s="712"/>
      <c r="F26" s="712"/>
      <c r="G26" s="712"/>
      <c r="H26" s="712"/>
      <c r="I26" s="712"/>
      <c r="J26" s="712"/>
    </row>
    <row r="27" spans="1:10" ht="24" customHeight="1">
      <c r="A27" s="715"/>
      <c r="B27" s="715"/>
      <c r="C27" s="712"/>
      <c r="D27" s="712"/>
      <c r="E27" s="712"/>
      <c r="F27" s="712"/>
      <c r="G27" s="712"/>
      <c r="H27" s="712"/>
      <c r="I27" s="712"/>
      <c r="J27" s="712"/>
    </row>
    <row r="28" spans="1:10" ht="14.45" customHeight="1">
      <c r="A28" s="390"/>
      <c r="B28" s="390"/>
      <c r="C28" s="57"/>
      <c r="D28" s="57"/>
      <c r="E28" s="57"/>
      <c r="F28" s="57"/>
      <c r="G28" s="57"/>
      <c r="H28" s="57"/>
      <c r="I28" s="57"/>
      <c r="J28" s="57"/>
    </row>
    <row r="29" spans="1:10" ht="14.45" customHeight="1">
      <c r="A29" s="716" t="s">
        <v>138</v>
      </c>
      <c r="B29" s="716"/>
      <c r="C29" s="712" t="s">
        <v>139</v>
      </c>
      <c r="D29" s="712"/>
      <c r="E29" s="712"/>
      <c r="F29" s="712"/>
      <c r="G29" s="712"/>
      <c r="H29" s="712"/>
      <c r="I29" s="712"/>
      <c r="J29" s="712"/>
    </row>
    <row r="30" spans="1:10" ht="14.45" customHeight="1">
      <c r="A30" s="716"/>
      <c r="B30" s="716"/>
      <c r="C30" s="712"/>
      <c r="D30" s="712"/>
      <c r="E30" s="712"/>
      <c r="F30" s="712"/>
      <c r="G30" s="712"/>
      <c r="H30" s="712"/>
      <c r="I30" s="712"/>
      <c r="J30" s="712"/>
    </row>
    <row r="31" spans="1:10" ht="14.45" customHeight="1">
      <c r="A31" s="716"/>
      <c r="B31" s="716"/>
      <c r="C31" s="712"/>
      <c r="D31" s="712"/>
      <c r="E31" s="712"/>
      <c r="F31" s="712"/>
      <c r="G31" s="712"/>
      <c r="H31" s="712"/>
      <c r="I31" s="712"/>
      <c r="J31" s="712"/>
    </row>
    <row r="32" spans="1:10" ht="14.45" customHeight="1">
      <c r="A32" s="716"/>
      <c r="B32" s="716"/>
      <c r="C32" s="712"/>
      <c r="D32" s="712"/>
      <c r="E32" s="712"/>
      <c r="F32" s="712"/>
      <c r="G32" s="712"/>
      <c r="H32" s="712"/>
      <c r="I32" s="712"/>
      <c r="J32" s="712"/>
    </row>
    <row r="33" spans="1:10" ht="14.45" customHeight="1">
      <c r="A33" s="716"/>
      <c r="B33" s="716"/>
      <c r="C33" s="712"/>
      <c r="D33" s="712"/>
      <c r="E33" s="712"/>
      <c r="F33" s="712"/>
      <c r="G33" s="712"/>
      <c r="H33" s="712"/>
      <c r="I33" s="712"/>
      <c r="J33" s="712"/>
    </row>
    <row r="34" spans="1:10" ht="14.45" customHeight="1">
      <c r="A34" s="716"/>
      <c r="B34" s="716"/>
      <c r="C34" s="712"/>
      <c r="D34" s="712"/>
      <c r="E34" s="712"/>
      <c r="F34" s="712"/>
      <c r="G34" s="712"/>
      <c r="H34" s="712"/>
      <c r="I34" s="712"/>
      <c r="J34" s="712"/>
    </row>
    <row r="35" spans="1:10" ht="14.45" customHeight="1">
      <c r="A35" s="716"/>
      <c r="B35" s="716"/>
      <c r="C35" s="712"/>
      <c r="D35" s="712"/>
      <c r="E35" s="712"/>
      <c r="F35" s="712"/>
      <c r="G35" s="712"/>
      <c r="H35" s="712"/>
      <c r="I35" s="712"/>
      <c r="J35" s="712"/>
    </row>
    <row r="36" spans="1:10" ht="14.45" customHeight="1">
      <c r="A36" s="716"/>
      <c r="B36" s="716"/>
      <c r="C36" s="712"/>
      <c r="D36" s="712"/>
      <c r="E36" s="712"/>
      <c r="F36" s="712"/>
      <c r="G36" s="712"/>
      <c r="H36" s="712"/>
      <c r="I36" s="712"/>
      <c r="J36" s="712"/>
    </row>
    <row r="37" spans="1:10" ht="14.45" customHeight="1">
      <c r="A37" s="716"/>
      <c r="B37" s="716"/>
      <c r="C37" s="712"/>
      <c r="D37" s="712"/>
      <c r="E37" s="712"/>
      <c r="F37" s="712"/>
      <c r="G37" s="712"/>
      <c r="H37" s="712"/>
      <c r="I37" s="712"/>
      <c r="J37" s="712"/>
    </row>
    <row r="38" spans="1:10" ht="14.45" customHeight="1">
      <c r="A38" s="716"/>
      <c r="B38" s="716"/>
      <c r="C38" s="712"/>
      <c r="D38" s="712"/>
      <c r="E38" s="712"/>
      <c r="F38" s="712"/>
      <c r="G38" s="712"/>
      <c r="H38" s="712"/>
      <c r="I38" s="712"/>
      <c r="J38" s="712"/>
    </row>
    <row r="39" spans="1:10" ht="14.45" customHeight="1">
      <c r="C39" s="57"/>
      <c r="D39" s="57"/>
      <c r="E39" s="57"/>
      <c r="F39" s="57"/>
      <c r="G39" s="57"/>
      <c r="H39" s="57"/>
      <c r="I39" s="57"/>
      <c r="J39" s="57"/>
    </row>
    <row r="40" spans="1:10" ht="14.45" customHeight="1">
      <c r="A40" s="713" t="s">
        <v>140</v>
      </c>
      <c r="B40" s="713"/>
      <c r="C40" s="712" t="s">
        <v>141</v>
      </c>
      <c r="D40" s="712"/>
      <c r="E40" s="712"/>
      <c r="F40" s="712"/>
      <c r="G40" s="712"/>
      <c r="H40" s="712"/>
      <c r="I40" s="712"/>
      <c r="J40" s="712"/>
    </row>
    <row r="41" spans="1:10" ht="14.45" customHeight="1">
      <c r="A41" s="713"/>
      <c r="B41" s="713"/>
      <c r="C41" s="712"/>
      <c r="D41" s="712"/>
      <c r="E41" s="712"/>
      <c r="F41" s="712"/>
      <c r="G41" s="712"/>
      <c r="H41" s="712"/>
      <c r="I41" s="712"/>
      <c r="J41" s="712"/>
    </row>
    <row r="42" spans="1:10" ht="14.45" customHeight="1">
      <c r="A42" s="713"/>
      <c r="B42" s="713"/>
      <c r="C42" s="712"/>
      <c r="D42" s="712"/>
      <c r="E42" s="712"/>
      <c r="F42" s="712"/>
      <c r="G42" s="712"/>
      <c r="H42" s="712"/>
      <c r="I42" s="712"/>
      <c r="J42" s="712"/>
    </row>
    <row r="43" spans="1:10" ht="14.45" customHeight="1">
      <c r="A43" s="713"/>
      <c r="B43" s="713"/>
      <c r="C43" s="712"/>
      <c r="D43" s="712"/>
      <c r="E43" s="712"/>
      <c r="F43" s="712"/>
      <c r="G43" s="712"/>
      <c r="H43" s="712"/>
      <c r="I43" s="712"/>
      <c r="J43" s="712"/>
    </row>
    <row r="44" spans="1:10" ht="14.45" customHeight="1">
      <c r="A44" s="713"/>
      <c r="B44" s="713"/>
      <c r="C44" s="712"/>
      <c r="D44" s="712"/>
      <c r="E44" s="712"/>
      <c r="F44" s="712"/>
      <c r="G44" s="712"/>
      <c r="H44" s="712"/>
      <c r="I44" s="712"/>
      <c r="J44" s="712"/>
    </row>
    <row r="45" spans="1:10" ht="14.45" customHeight="1">
      <c r="A45" s="713"/>
      <c r="B45" s="713"/>
      <c r="C45" s="712"/>
      <c r="D45" s="712"/>
      <c r="E45" s="712"/>
      <c r="F45" s="712"/>
      <c r="G45" s="712"/>
      <c r="H45" s="712"/>
      <c r="I45" s="712"/>
      <c r="J45" s="712"/>
    </row>
    <row r="46" spans="1:10" ht="14.45" customHeight="1">
      <c r="A46" s="713"/>
      <c r="B46" s="713"/>
      <c r="C46" s="712"/>
      <c r="D46" s="712"/>
      <c r="E46" s="712"/>
      <c r="F46" s="712"/>
      <c r="G46" s="712"/>
      <c r="H46" s="712"/>
      <c r="I46" s="712"/>
      <c r="J46" s="712"/>
    </row>
    <row r="47" spans="1:10" ht="14.45" customHeight="1">
      <c r="C47" s="712"/>
      <c r="D47" s="712"/>
      <c r="E47" s="712"/>
      <c r="F47" s="712"/>
      <c r="G47" s="712"/>
      <c r="H47" s="712"/>
      <c r="I47" s="712"/>
      <c r="J47" s="712"/>
    </row>
    <row r="48" spans="1:10" ht="14.45" customHeight="1">
      <c r="C48" s="712"/>
      <c r="D48" s="712"/>
      <c r="E48" s="712"/>
      <c r="F48" s="712"/>
      <c r="G48" s="712"/>
      <c r="H48" s="712"/>
      <c r="I48" s="712"/>
      <c r="J48" s="712"/>
    </row>
    <row r="49" spans="3:10" ht="14.45" customHeight="1">
      <c r="C49" s="58"/>
      <c r="D49" s="58"/>
      <c r="E49" s="58"/>
      <c r="F49" s="58"/>
      <c r="G49" s="58"/>
      <c r="H49" s="58"/>
      <c r="I49" s="58"/>
      <c r="J49" s="58"/>
    </row>
    <row r="50" spans="3:10" ht="14.45" customHeight="1"/>
    <row r="51" spans="3:10" ht="14.45" customHeight="1"/>
    <row r="52" spans="3:10" ht="14.45" customHeight="1"/>
    <row r="53" spans="3:10" ht="14.45" customHeight="1"/>
    <row r="54" spans="3:10" ht="14.45" customHeight="1"/>
    <row r="55" spans="3:10" ht="14.45" customHeight="1"/>
    <row r="56" spans="3:10" ht="14.45" customHeight="1"/>
    <row r="57" spans="3:10" ht="14.45" customHeight="1"/>
    <row r="58" spans="3:10" ht="14.45" customHeight="1"/>
    <row r="59" spans="3:10" ht="14.45" customHeight="1"/>
    <row r="60" spans="3:10" ht="14.45" customHeight="1"/>
    <row r="61" spans="3:10" ht="14.45" customHeight="1"/>
    <row r="62" spans="3:10" ht="14.45" customHeight="1"/>
    <row r="63" spans="3:10" ht="14.45" customHeight="1"/>
    <row r="64" spans="3:10" ht="14.45" customHeight="1"/>
    <row r="65" ht="14.45" customHeight="1"/>
    <row r="66" ht="14.45" customHeight="1"/>
    <row r="67" ht="14.45" customHeight="1"/>
    <row r="68" ht="14.45" customHeight="1"/>
    <row r="69" ht="14.45" customHeight="1"/>
    <row r="70" ht="14.45" customHeight="1"/>
    <row r="71" ht="14.45" customHeight="1"/>
    <row r="72" ht="14.45" customHeight="1"/>
    <row r="73" ht="14.45" customHeight="1"/>
    <row r="74" ht="14.45" customHeight="1"/>
    <row r="75" ht="14.45" customHeight="1"/>
    <row r="76" ht="14.45" customHeight="1"/>
    <row r="77" ht="14.45" customHeight="1"/>
    <row r="78" ht="14.45" customHeight="1"/>
    <row r="79" ht="14.45" customHeight="1"/>
    <row r="80" ht="14.45" customHeight="1"/>
  </sheetData>
  <mergeCells count="11">
    <mergeCell ref="C40:J48"/>
    <mergeCell ref="A40:B46"/>
    <mergeCell ref="D1:I4"/>
    <mergeCell ref="C25:J27"/>
    <mergeCell ref="A25:B27"/>
    <mergeCell ref="C29:J38"/>
    <mergeCell ref="A29:B38"/>
    <mergeCell ref="A7:B13"/>
    <mergeCell ref="C15:J23"/>
    <mergeCell ref="A15:B23"/>
    <mergeCell ref="C7:J1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7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28"/>
  <sheetViews>
    <sheetView showGridLines="0" view="pageBreakPreview" topLeftCell="A4" zoomScale="130" zoomScaleNormal="130" zoomScaleSheetLayoutView="130" zoomScalePageLayoutView="40" workbookViewId="0">
      <selection activeCell="C10" sqref="C10"/>
    </sheetView>
  </sheetViews>
  <sheetFormatPr defaultColWidth="9.140625" defaultRowHeight="15.6"/>
  <cols>
    <col min="1" max="1" width="12.140625" style="53" customWidth="1"/>
    <col min="2" max="2" width="42.7109375" style="53" customWidth="1"/>
    <col min="3" max="3" width="20.7109375" style="53" customWidth="1"/>
    <col min="4" max="4" width="13.7109375" style="53" customWidth="1"/>
    <col min="5" max="5" width="39.42578125" style="53" bestFit="1" customWidth="1"/>
    <col min="6" max="6" width="1.5703125" style="53" customWidth="1"/>
    <col min="7" max="7" width="3.7109375" style="53" customWidth="1"/>
    <col min="8" max="8" width="14.85546875" style="53" customWidth="1"/>
    <col min="9" max="10" width="9.140625" style="53" customWidth="1"/>
    <col min="11" max="11" width="5.42578125" style="53" customWidth="1"/>
    <col min="12" max="16384" width="9.140625" style="53"/>
  </cols>
  <sheetData>
    <row r="1" spans="1:11" ht="19.899999999999999" customHeight="1">
      <c r="A1" s="714" t="str">
        <f>Capa!A19</f>
        <v xml:space="preserve">ORÇAMENTO PARA ELABORAÇÃO DE PROJETOS DE SISTEMA DE ESGOTAMENTO SANITÁRIO </v>
      </c>
      <c r="B1" s="714"/>
      <c r="C1" s="714"/>
      <c r="D1" s="714"/>
      <c r="E1" s="714"/>
      <c r="F1" s="714"/>
      <c r="G1" s="714"/>
      <c r="H1" s="714"/>
      <c r="I1" s="56"/>
      <c r="J1" s="56"/>
      <c r="K1" s="56"/>
    </row>
    <row r="2" spans="1:11" ht="19.899999999999999" customHeight="1">
      <c r="A2" s="714"/>
      <c r="B2" s="714"/>
      <c r="C2" s="714"/>
      <c r="D2" s="714"/>
      <c r="E2" s="714"/>
      <c r="F2" s="714"/>
      <c r="G2" s="714"/>
      <c r="H2" s="714"/>
      <c r="I2" s="56"/>
      <c r="J2" s="56"/>
      <c r="K2" s="56"/>
    </row>
    <row r="3" spans="1:11" ht="19.899999999999999" customHeight="1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</row>
    <row r="4" spans="1:11" ht="19.899999999999999" customHeight="1">
      <c r="A4" s="59" t="s">
        <v>142</v>
      </c>
      <c r="B4" s="60"/>
      <c r="C4" s="60"/>
      <c r="F4" s="60"/>
      <c r="G4" s="62" t="s">
        <v>143</v>
      </c>
      <c r="H4" s="260">
        <f ca="1">Capa!E53</f>
        <v>46170</v>
      </c>
      <c r="I4" s="189"/>
    </row>
    <row r="5" spans="1:11" ht="19.899999999999999" customHeight="1">
      <c r="A5" s="59" t="s">
        <v>144</v>
      </c>
      <c r="B5" s="64" t="str">
        <f>Capa!B25</f>
        <v>CBH-PIRANGA</v>
      </c>
      <c r="C5" s="60"/>
      <c r="D5" s="60"/>
      <c r="E5" s="60"/>
      <c r="F5" s="60"/>
      <c r="G5" s="65"/>
      <c r="H5" s="66"/>
    </row>
    <row r="6" spans="1:11" ht="19.899999999999999" customHeight="1">
      <c r="A6" s="59" t="s">
        <v>145</v>
      </c>
      <c r="B6" s="64" t="str">
        <f>Capa!B30</f>
        <v>São Miguel do Anta/MG</v>
      </c>
      <c r="C6" s="60"/>
      <c r="E6" s="60"/>
      <c r="F6" s="60"/>
      <c r="G6" s="61"/>
      <c r="H6" s="67"/>
    </row>
    <row r="7" spans="1:11" ht="19.899999999999999" customHeight="1"/>
    <row r="8" spans="1:11" ht="19.899999999999999" customHeight="1">
      <c r="A8" s="717" t="s">
        <v>146</v>
      </c>
      <c r="B8" s="717"/>
      <c r="C8" s="75" t="s">
        <v>147</v>
      </c>
      <c r="D8" s="75" t="s">
        <v>148</v>
      </c>
      <c r="E8" s="75" t="s">
        <v>149</v>
      </c>
      <c r="F8" s="68"/>
      <c r="G8" s="68" t="s">
        <v>150</v>
      </c>
      <c r="H8" s="69"/>
      <c r="I8" s="69"/>
      <c r="J8" s="69"/>
      <c r="K8" s="69"/>
    </row>
    <row r="9" spans="1:11" ht="28.5" customHeight="1">
      <c r="A9" s="718" t="s">
        <v>151</v>
      </c>
      <c r="B9" s="718"/>
      <c r="C9" s="434" t="s">
        <v>152</v>
      </c>
      <c r="D9" s="268"/>
      <c r="E9" s="268"/>
      <c r="F9" s="68"/>
      <c r="G9" s="254"/>
      <c r="H9" s="70" t="s">
        <v>153</v>
      </c>
      <c r="I9" s="69"/>
      <c r="J9" s="69"/>
      <c r="K9" s="69"/>
    </row>
    <row r="10" spans="1:11" ht="28.5" customHeight="1">
      <c r="A10" s="191" t="s">
        <v>154</v>
      </c>
      <c r="B10" s="191"/>
      <c r="C10" s="635">
        <v>6</v>
      </c>
      <c r="D10" s="192" t="s">
        <v>112</v>
      </c>
      <c r="E10" s="192" t="s">
        <v>155</v>
      </c>
      <c r="F10" s="68"/>
      <c r="G10" s="254"/>
      <c r="H10" s="70"/>
      <c r="I10" s="69"/>
      <c r="J10" s="69"/>
      <c r="K10" s="69"/>
    </row>
    <row r="11" spans="1:11" ht="19.899999999999999" customHeight="1">
      <c r="A11" s="720" t="s">
        <v>156</v>
      </c>
      <c r="B11" s="720"/>
      <c r="C11" s="636">
        <v>323</v>
      </c>
      <c r="D11" s="192" t="s">
        <v>157</v>
      </c>
      <c r="E11" s="192" t="s">
        <v>158</v>
      </c>
      <c r="F11" s="71"/>
      <c r="G11" s="257"/>
      <c r="H11" s="70" t="s">
        <v>159</v>
      </c>
      <c r="I11" s="69"/>
      <c r="J11" s="69"/>
      <c r="K11" s="69"/>
    </row>
    <row r="12" spans="1:11" ht="19.899999999999999" customHeight="1">
      <c r="A12" s="191" t="s">
        <v>160</v>
      </c>
      <c r="B12" s="191"/>
      <c r="C12" s="641">
        <v>6430</v>
      </c>
      <c r="D12" s="192" t="s">
        <v>161</v>
      </c>
      <c r="E12" s="192" t="s">
        <v>162</v>
      </c>
      <c r="F12" s="71"/>
      <c r="I12" s="69"/>
      <c r="J12" s="69"/>
      <c r="K12" s="69"/>
    </row>
    <row r="13" spans="1:11" ht="19.899999999999999" customHeight="1">
      <c r="A13" s="191" t="s">
        <v>163</v>
      </c>
      <c r="B13" s="191"/>
      <c r="C13" s="641">
        <v>3624</v>
      </c>
      <c r="D13" s="192" t="s">
        <v>161</v>
      </c>
      <c r="E13" s="192" t="s">
        <v>164</v>
      </c>
      <c r="F13" s="71"/>
      <c r="I13" s="69"/>
      <c r="J13" s="69"/>
      <c r="K13" s="69"/>
    </row>
    <row r="14" spans="1:11" ht="19.899999999999999" customHeight="1">
      <c r="A14" s="191" t="s">
        <v>165</v>
      </c>
      <c r="B14" s="191"/>
      <c r="C14" s="641">
        <v>3565</v>
      </c>
      <c r="D14" s="192" t="s">
        <v>161</v>
      </c>
      <c r="E14" s="192" t="s">
        <v>164</v>
      </c>
      <c r="F14" s="71"/>
      <c r="G14" s="69"/>
      <c r="H14" s="69"/>
      <c r="I14" s="69"/>
      <c r="J14" s="69"/>
      <c r="K14" s="69"/>
    </row>
    <row r="15" spans="1:11" ht="19.899999999999999" customHeight="1">
      <c r="A15" s="191" t="s">
        <v>166</v>
      </c>
      <c r="B15" s="191"/>
      <c r="C15" s="635">
        <v>1.3460000000000001</v>
      </c>
      <c r="D15" s="192" t="s">
        <v>167</v>
      </c>
      <c r="E15" s="192" t="s">
        <v>168</v>
      </c>
      <c r="F15" s="71"/>
      <c r="G15" s="267"/>
      <c r="H15" s="69"/>
      <c r="I15" s="69"/>
      <c r="J15" s="69"/>
      <c r="K15" s="69"/>
    </row>
    <row r="16" spans="1:11" ht="19.899999999999999" customHeight="1">
      <c r="A16" s="191" t="s">
        <v>169</v>
      </c>
      <c r="B16" s="191"/>
      <c r="C16" s="636">
        <v>171.5</v>
      </c>
      <c r="D16" s="192" t="s">
        <v>170</v>
      </c>
      <c r="E16" s="192" t="s">
        <v>171</v>
      </c>
      <c r="F16" s="71"/>
      <c r="G16" s="267"/>
      <c r="H16" s="69"/>
      <c r="I16" s="69"/>
      <c r="J16" s="69"/>
      <c r="K16" s="69"/>
    </row>
    <row r="17" spans="1:11" ht="19.899999999999999" customHeight="1">
      <c r="A17" s="191" t="s">
        <v>172</v>
      </c>
      <c r="B17" s="191"/>
      <c r="C17" s="637">
        <v>1700</v>
      </c>
      <c r="D17" s="192" t="s">
        <v>173</v>
      </c>
      <c r="E17" s="192" t="s">
        <v>164</v>
      </c>
      <c r="F17" s="71"/>
      <c r="G17" s="69"/>
      <c r="H17" s="69"/>
      <c r="I17" s="69"/>
      <c r="J17" s="69"/>
      <c r="K17" s="69"/>
    </row>
    <row r="18" spans="1:11" ht="19.899999999999999" customHeight="1">
      <c r="A18" s="191" t="s">
        <v>174</v>
      </c>
      <c r="B18" s="191"/>
      <c r="C18" s="642">
        <v>0.48</v>
      </c>
      <c r="D18" s="192" t="s">
        <v>175</v>
      </c>
      <c r="E18" s="192" t="s">
        <v>164</v>
      </c>
      <c r="F18" s="71"/>
      <c r="G18" s="69"/>
      <c r="H18" s="69"/>
      <c r="I18" s="69"/>
      <c r="J18" s="69"/>
      <c r="K18" s="69"/>
    </row>
    <row r="19" spans="1:11" ht="19.899999999999999" customHeight="1">
      <c r="A19" s="191" t="s">
        <v>176</v>
      </c>
      <c r="B19" s="191"/>
      <c r="C19" s="637">
        <v>10</v>
      </c>
      <c r="D19" s="192" t="s">
        <v>177</v>
      </c>
      <c r="E19" s="192" t="s">
        <v>171</v>
      </c>
      <c r="F19" s="71"/>
      <c r="G19" s="69"/>
      <c r="H19" s="69"/>
      <c r="I19" s="69"/>
      <c r="J19" s="69"/>
      <c r="K19" s="69"/>
    </row>
    <row r="20" spans="1:11" ht="19.899999999999999" customHeight="1">
      <c r="A20" s="253" t="s">
        <v>178</v>
      </c>
      <c r="B20" s="466"/>
      <c r="C20" s="638">
        <f>((C16*C14*1.2*1.5)/86400)*0.8</f>
        <v>10.189958333333335</v>
      </c>
      <c r="D20" s="192" t="s">
        <v>179</v>
      </c>
      <c r="E20" s="192" t="s">
        <v>159</v>
      </c>
      <c r="F20" s="71"/>
      <c r="G20" s="267"/>
      <c r="H20" s="69"/>
      <c r="I20" s="69"/>
      <c r="J20" s="69"/>
      <c r="K20" s="69"/>
    </row>
    <row r="21" spans="1:11" ht="19.899999999999999" customHeight="1">
      <c r="A21" s="253" t="s">
        <v>180</v>
      </c>
      <c r="B21" s="466"/>
      <c r="C21" s="639">
        <f>C19*C17*0.8</f>
        <v>13600</v>
      </c>
      <c r="D21" s="192" t="s">
        <v>181</v>
      </c>
      <c r="E21" s="192" t="s">
        <v>182</v>
      </c>
      <c r="F21" s="71"/>
      <c r="G21" s="69"/>
      <c r="H21" s="69"/>
      <c r="I21" s="69"/>
      <c r="J21" s="69"/>
      <c r="K21" s="69"/>
    </row>
    <row r="22" spans="1:11" ht="19.899999999999999" customHeight="1">
      <c r="A22" s="253" t="s">
        <v>183</v>
      </c>
      <c r="B22" s="466"/>
      <c r="C22" s="639">
        <f>ROUND(C21*C18,2)</f>
        <v>6528</v>
      </c>
      <c r="D22" s="192"/>
      <c r="E22" s="192" t="s">
        <v>159</v>
      </c>
      <c r="F22" s="71"/>
      <c r="G22" s="69"/>
      <c r="H22" s="69"/>
      <c r="I22" s="69"/>
      <c r="J22" s="69"/>
      <c r="K22" s="69"/>
    </row>
    <row r="23" spans="1:11" ht="19.899999999999999" customHeight="1">
      <c r="A23" s="253" t="s">
        <v>184</v>
      </c>
      <c r="B23" s="467"/>
      <c r="C23" s="640">
        <f>ROUNDUP(C21/80,0)</f>
        <v>170</v>
      </c>
      <c r="D23" s="192" t="s">
        <v>173</v>
      </c>
      <c r="E23" s="192" t="s">
        <v>159</v>
      </c>
      <c r="F23" s="71"/>
      <c r="G23" s="69"/>
      <c r="H23" s="69"/>
      <c r="I23" s="69"/>
      <c r="J23" s="69"/>
      <c r="K23" s="69"/>
    </row>
    <row r="24" spans="1:11" ht="19.899999999999999" customHeight="1">
      <c r="A24" s="253" t="s">
        <v>185</v>
      </c>
      <c r="B24" s="253"/>
      <c r="C24" s="640">
        <f>C22/1000</f>
        <v>6.5279999999999996</v>
      </c>
      <c r="D24" s="192" t="s">
        <v>186</v>
      </c>
      <c r="E24" s="192" t="s">
        <v>159</v>
      </c>
      <c r="F24" s="71"/>
      <c r="G24" s="69"/>
      <c r="H24" s="69"/>
      <c r="I24" s="69"/>
      <c r="J24" s="69"/>
      <c r="K24" s="69"/>
    </row>
    <row r="25" spans="1:11" ht="19.899999999999999" customHeight="1">
      <c r="A25" s="253" t="s">
        <v>187</v>
      </c>
      <c r="B25" s="253"/>
      <c r="C25" s="640">
        <f>C21/1000</f>
        <v>13.6</v>
      </c>
      <c r="D25" s="192" t="s">
        <v>186</v>
      </c>
      <c r="E25" s="192" t="s">
        <v>159</v>
      </c>
      <c r="F25" s="68"/>
      <c r="G25" s="69"/>
      <c r="H25" s="69"/>
      <c r="I25" s="69"/>
      <c r="J25" s="69"/>
      <c r="K25" s="69"/>
    </row>
    <row r="26" spans="1:11" ht="19.899999999999999" customHeight="1">
      <c r="A26" s="719" t="s">
        <v>188</v>
      </c>
      <c r="B26" s="719"/>
      <c r="C26" s="719"/>
      <c r="D26" s="719"/>
      <c r="E26" s="719"/>
      <c r="F26" s="719"/>
      <c r="G26" s="719"/>
      <c r="H26" s="719"/>
    </row>
    <row r="27" spans="1:11" s="73" customFormat="1" ht="19.899999999999999" customHeight="1">
      <c r="A27" s="719"/>
      <c r="B27" s="719"/>
      <c r="C27" s="719"/>
      <c r="D27" s="719"/>
      <c r="E27" s="719"/>
      <c r="F27" s="719"/>
      <c r="G27" s="719"/>
      <c r="H27" s="719"/>
    </row>
    <row r="28" spans="1:11" ht="19.899999999999999" customHeight="1">
      <c r="A28" s="74"/>
      <c r="B28" s="74"/>
      <c r="C28" s="74"/>
      <c r="D28" s="74"/>
      <c r="E28" s="74"/>
    </row>
  </sheetData>
  <mergeCells count="5">
    <mergeCell ref="A8:B8"/>
    <mergeCell ref="A1:H2"/>
    <mergeCell ref="A9:B9"/>
    <mergeCell ref="A26:H27"/>
    <mergeCell ref="A11:B11"/>
  </mergeCells>
  <printOptions horizontalCentered="1"/>
  <pageMargins left="0.51181102362204722" right="0.51181102362204722" top="0.47244094488188981" bottom="0.78740157480314965" header="0.31496062992125984" footer="0.31496062992125984"/>
  <pageSetup paperSize="9" scale="93" fitToHeight="0" orientation="landscape" r:id="rId1"/>
  <cellWatches>
    <cellWatch r="C25"/>
  </cellWatche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 tint="-0.249977111117893"/>
    <pageSetUpPr fitToPage="1"/>
  </sheetPr>
  <dimension ref="A1:H74"/>
  <sheetViews>
    <sheetView showGridLines="0" view="pageBreakPreview" topLeftCell="A35" zoomScaleSheetLayoutView="100" workbookViewId="0">
      <selection activeCell="A5" sqref="A5"/>
    </sheetView>
  </sheetViews>
  <sheetFormatPr defaultColWidth="9.140625" defaultRowHeight="15.6"/>
  <cols>
    <col min="1" max="1" width="11" style="86" customWidth="1"/>
    <col min="2" max="2" width="58.5703125" style="86" bestFit="1" customWidth="1"/>
    <col min="3" max="3" width="12.140625" style="92" bestFit="1" customWidth="1"/>
    <col min="4" max="4" width="10.42578125" style="93" bestFit="1" customWidth="1"/>
    <col min="5" max="5" width="8.7109375" style="94" bestFit="1" customWidth="1"/>
    <col min="6" max="6" width="12.28515625" style="86" customWidth="1"/>
    <col min="7" max="7" width="9.140625" style="86"/>
    <col min="8" max="8" width="12.140625" style="86" customWidth="1"/>
    <col min="9" max="9" width="9.140625" style="86"/>
    <col min="10" max="10" width="15.140625" style="86" bestFit="1" customWidth="1"/>
    <col min="11" max="11" width="54.28515625" style="86" bestFit="1" customWidth="1"/>
    <col min="12" max="16384" width="9.140625" style="86"/>
  </cols>
  <sheetData>
    <row r="1" spans="1:8" ht="20.100000000000001" customHeight="1">
      <c r="A1" s="723" t="str">
        <f>Capa!A19</f>
        <v xml:space="preserve">ORÇAMENTO PARA ELABORAÇÃO DE PROJETOS DE SISTEMA DE ESGOTAMENTO SANITÁRIO </v>
      </c>
      <c r="B1" s="723"/>
      <c r="C1" s="723"/>
      <c r="D1" s="723"/>
      <c r="E1" s="723"/>
      <c r="F1" s="723"/>
      <c r="G1" s="723"/>
      <c r="H1" s="723"/>
    </row>
    <row r="2" spans="1:8" ht="20.100000000000001" customHeight="1">
      <c r="A2" s="723"/>
      <c r="B2" s="723"/>
      <c r="C2" s="723"/>
      <c r="D2" s="723"/>
      <c r="E2" s="723"/>
      <c r="F2" s="723"/>
      <c r="G2" s="723"/>
      <c r="H2" s="723"/>
    </row>
    <row r="3" spans="1:8" ht="20.100000000000001" customHeight="1">
      <c r="A3" s="723"/>
      <c r="B3" s="723"/>
      <c r="C3" s="723"/>
      <c r="D3" s="723"/>
      <c r="E3" s="723"/>
      <c r="F3" s="723"/>
      <c r="G3" s="723"/>
      <c r="H3" s="723"/>
    </row>
    <row r="4" spans="1:8" ht="20.100000000000001" customHeight="1">
      <c r="A4" s="78" t="s">
        <v>189</v>
      </c>
      <c r="B4" s="78"/>
      <c r="C4" s="79"/>
      <c r="D4" s="53"/>
      <c r="E4" s="79"/>
      <c r="F4" s="79"/>
      <c r="G4" s="80" t="s">
        <v>143</v>
      </c>
      <c r="H4" s="63">
        <f ca="1">'Dados Básicos do município'!H4</f>
        <v>46170</v>
      </c>
    </row>
    <row r="5" spans="1:8" ht="20.100000000000001" customHeight="1">
      <c r="A5" s="78" t="s">
        <v>144</v>
      </c>
      <c r="B5" s="81" t="str">
        <f>'Dados Básicos do município'!B5</f>
        <v>CBH-PIRANGA</v>
      </c>
      <c r="C5" s="86"/>
      <c r="D5" s="53"/>
      <c r="E5" s="79"/>
      <c r="F5" s="79"/>
      <c r="G5" s="79"/>
      <c r="H5" s="79"/>
    </row>
    <row r="6" spans="1:8" ht="20.100000000000001" customHeight="1">
      <c r="A6" s="78" t="s">
        <v>145</v>
      </c>
      <c r="B6" s="81" t="str">
        <f>'Dados Básicos do município'!B6</f>
        <v>São Miguel do Anta/MG</v>
      </c>
      <c r="C6" s="86"/>
      <c r="D6" s="53"/>
      <c r="E6" s="79"/>
      <c r="G6" s="79"/>
      <c r="H6" s="79"/>
    </row>
    <row r="7" spans="1:8" ht="6.6" customHeight="1">
      <c r="A7" s="78"/>
      <c r="B7" s="78"/>
      <c r="C7" s="81"/>
      <c r="D7" s="53"/>
      <c r="E7" s="79"/>
      <c r="F7" s="79"/>
      <c r="G7" s="79"/>
      <c r="H7" s="79"/>
    </row>
    <row r="8" spans="1:8" ht="20.100000000000001" customHeight="1">
      <c r="A8" s="95" t="s">
        <v>190</v>
      </c>
      <c r="B8" s="97" t="s">
        <v>191</v>
      </c>
      <c r="C8" s="96" t="s">
        <v>192</v>
      </c>
      <c r="D8" s="96" t="s">
        <v>148</v>
      </c>
      <c r="E8" s="722" t="s">
        <v>193</v>
      </c>
      <c r="F8" s="722"/>
      <c r="G8" s="722"/>
      <c r="H8" s="722"/>
    </row>
    <row r="9" spans="1:8" ht="5.0999999999999996" customHeight="1">
      <c r="A9" s="87"/>
      <c r="B9" s="87"/>
      <c r="C9" s="88"/>
      <c r="D9" s="89"/>
      <c r="E9" s="90"/>
      <c r="F9" s="87"/>
      <c r="G9" s="87"/>
      <c r="H9" s="87"/>
    </row>
    <row r="10" spans="1:8" ht="20.100000000000001" customHeight="1">
      <c r="A10" s="196">
        <v>1</v>
      </c>
      <c r="B10" s="193" t="s">
        <v>194</v>
      </c>
      <c r="C10" s="104">
        <f>C17</f>
        <v>114.57142857142857</v>
      </c>
      <c r="D10" s="197"/>
      <c r="E10" s="197"/>
      <c r="F10" s="198"/>
      <c r="G10" s="198"/>
      <c r="H10" s="198"/>
    </row>
    <row r="11" spans="1:8" ht="20.100000000000001" customHeight="1">
      <c r="A11" s="194" t="s">
        <v>38</v>
      </c>
      <c r="B11" s="271" t="s">
        <v>195</v>
      </c>
      <c r="C11" s="99">
        <v>366</v>
      </c>
      <c r="D11" s="199" t="s">
        <v>196</v>
      </c>
      <c r="E11" s="195" t="s">
        <v>197</v>
      </c>
      <c r="F11" s="200"/>
      <c r="G11" s="200"/>
      <c r="H11" s="200"/>
    </row>
    <row r="12" spans="1:8" ht="20.100000000000001" customHeight="1">
      <c r="A12" s="194" t="s">
        <v>40</v>
      </c>
      <c r="B12" s="270" t="s">
        <v>198</v>
      </c>
      <c r="C12" s="99">
        <v>7</v>
      </c>
      <c r="D12" s="199" t="s">
        <v>196</v>
      </c>
      <c r="E12" s="195" t="s">
        <v>197</v>
      </c>
      <c r="F12" s="200"/>
      <c r="G12" s="200"/>
      <c r="H12" s="200"/>
    </row>
    <row r="13" spans="1:8" ht="20.100000000000001" customHeight="1">
      <c r="A13" s="194" t="s">
        <v>42</v>
      </c>
      <c r="B13" s="195" t="s">
        <v>199</v>
      </c>
      <c r="C13" s="99">
        <v>2</v>
      </c>
      <c r="D13" s="199" t="s">
        <v>196</v>
      </c>
      <c r="E13" s="195" t="s">
        <v>197</v>
      </c>
      <c r="F13" s="200"/>
      <c r="G13" s="200"/>
      <c r="H13" s="200"/>
    </row>
    <row r="14" spans="1:8" ht="20.100000000000001" customHeight="1">
      <c r="A14" s="194" t="s">
        <v>44</v>
      </c>
      <c r="B14" s="195" t="s">
        <v>200</v>
      </c>
      <c r="C14" s="100">
        <f>C11/C12</f>
        <v>52.285714285714285</v>
      </c>
      <c r="D14" s="199" t="s">
        <v>201</v>
      </c>
      <c r="E14" s="195" t="s">
        <v>159</v>
      </c>
      <c r="F14" s="200" t="s">
        <v>202</v>
      </c>
      <c r="G14" s="200"/>
      <c r="H14" s="200"/>
    </row>
    <row r="15" spans="1:8" ht="20.100000000000001" customHeight="1">
      <c r="A15" s="194" t="s">
        <v>46</v>
      </c>
      <c r="B15" s="195" t="s">
        <v>203</v>
      </c>
      <c r="C15" s="100">
        <f>C14*2</f>
        <v>104.57142857142857</v>
      </c>
      <c r="D15" s="199" t="s">
        <v>196</v>
      </c>
      <c r="E15" s="195" t="s">
        <v>159</v>
      </c>
      <c r="F15" s="200" t="s">
        <v>204</v>
      </c>
      <c r="G15" s="200"/>
      <c r="H15" s="200"/>
    </row>
    <row r="16" spans="1:8" ht="20.100000000000001" customHeight="1">
      <c r="A16" s="194" t="s">
        <v>48</v>
      </c>
      <c r="B16" s="195" t="s">
        <v>205</v>
      </c>
      <c r="C16" s="99">
        <v>10</v>
      </c>
      <c r="D16" s="199" t="s">
        <v>196</v>
      </c>
      <c r="E16" s="201"/>
      <c r="F16" s="202"/>
      <c r="G16" s="202"/>
      <c r="H16" s="202"/>
    </row>
    <row r="17" spans="1:8" ht="20.100000000000001" customHeight="1">
      <c r="A17" s="194" t="s">
        <v>50</v>
      </c>
      <c r="B17" s="195" t="s">
        <v>206</v>
      </c>
      <c r="C17" s="105">
        <f>C15+C16</f>
        <v>114.57142857142857</v>
      </c>
      <c r="D17" s="199" t="s">
        <v>196</v>
      </c>
      <c r="E17" s="195" t="s">
        <v>159</v>
      </c>
      <c r="F17" s="200" t="s">
        <v>207</v>
      </c>
      <c r="G17" s="200"/>
      <c r="H17" s="200"/>
    </row>
    <row r="18" spans="1:8" ht="5.0999999999999996" customHeight="1">
      <c r="A18" s="194"/>
      <c r="B18" s="194"/>
      <c r="C18" s="88"/>
      <c r="D18" s="199"/>
      <c r="E18" s="195"/>
      <c r="F18" s="200"/>
      <c r="G18" s="200"/>
      <c r="H18" s="200"/>
    </row>
    <row r="19" spans="1:8" ht="20.100000000000001" customHeight="1">
      <c r="A19" s="196">
        <v>2</v>
      </c>
      <c r="B19" s="193" t="s">
        <v>208</v>
      </c>
      <c r="C19" s="104">
        <f>C24</f>
        <v>167.61904761904762</v>
      </c>
      <c r="D19" s="197"/>
      <c r="E19" s="197"/>
      <c r="F19" s="198"/>
      <c r="G19" s="198"/>
      <c r="H19" s="198"/>
    </row>
    <row r="20" spans="1:8" ht="20.100000000000001" customHeight="1">
      <c r="A20" s="194" t="s">
        <v>56</v>
      </c>
      <c r="B20" s="195" t="s">
        <v>209</v>
      </c>
      <c r="C20" s="100">
        <f>C11-C17</f>
        <v>251.42857142857144</v>
      </c>
      <c r="D20" s="199" t="s">
        <v>196</v>
      </c>
      <c r="E20" s="195" t="s">
        <v>159</v>
      </c>
      <c r="F20" s="200" t="s">
        <v>210</v>
      </c>
      <c r="G20" s="200"/>
      <c r="H20" s="200"/>
    </row>
    <row r="21" spans="1:8" ht="20.100000000000001" customHeight="1">
      <c r="A21" s="194" t="s">
        <v>57</v>
      </c>
      <c r="B21" s="195" t="s">
        <v>211</v>
      </c>
      <c r="C21" s="99">
        <v>8</v>
      </c>
      <c r="D21" s="199" t="s">
        <v>212</v>
      </c>
      <c r="E21" s="195" t="s">
        <v>197</v>
      </c>
      <c r="F21" s="200" t="s">
        <v>213</v>
      </c>
      <c r="G21" s="200"/>
      <c r="H21" s="200"/>
    </row>
    <row r="22" spans="1:8" ht="20.100000000000001" customHeight="1">
      <c r="A22" s="194" t="s">
        <v>58</v>
      </c>
      <c r="B22" s="195" t="s">
        <v>214</v>
      </c>
      <c r="C22" s="100">
        <f>C20*C21</f>
        <v>2011.4285714285716</v>
      </c>
      <c r="D22" s="199" t="s">
        <v>212</v>
      </c>
      <c r="E22" s="195" t="s">
        <v>159</v>
      </c>
      <c r="F22" s="200" t="s">
        <v>215</v>
      </c>
      <c r="G22" s="200"/>
      <c r="H22" s="200"/>
    </row>
    <row r="23" spans="1:8" ht="20.100000000000001" customHeight="1">
      <c r="A23" s="194" t="s">
        <v>59</v>
      </c>
      <c r="B23" s="195" t="s">
        <v>216</v>
      </c>
      <c r="C23" s="99">
        <v>12</v>
      </c>
      <c r="D23" s="199" t="s">
        <v>112</v>
      </c>
      <c r="E23" s="195" t="s">
        <v>197</v>
      </c>
      <c r="F23" s="200"/>
      <c r="G23" s="200"/>
      <c r="H23" s="200"/>
    </row>
    <row r="24" spans="1:8" ht="20.100000000000001" customHeight="1">
      <c r="A24" s="194" t="s">
        <v>60</v>
      </c>
      <c r="B24" s="195" t="s">
        <v>217</v>
      </c>
      <c r="C24" s="105">
        <f>C22/C23</f>
        <v>167.61904761904762</v>
      </c>
      <c r="D24" s="199" t="s">
        <v>212</v>
      </c>
      <c r="E24" s="195" t="s">
        <v>159</v>
      </c>
      <c r="F24" s="200" t="s">
        <v>218</v>
      </c>
      <c r="G24" s="200"/>
      <c r="H24" s="200"/>
    </row>
    <row r="25" spans="1:8" ht="5.0999999999999996" customHeight="1">
      <c r="A25" s="194"/>
      <c r="B25" s="195"/>
      <c r="C25" s="88"/>
      <c r="D25" s="199"/>
      <c r="E25" s="195"/>
      <c r="F25" s="200"/>
      <c r="G25" s="200"/>
      <c r="H25" s="200"/>
    </row>
    <row r="26" spans="1:8" ht="20.100000000000001" customHeight="1">
      <c r="A26" s="196">
        <v>3</v>
      </c>
      <c r="B26" s="193" t="s">
        <v>219</v>
      </c>
      <c r="C26" s="104">
        <f>C27+C29+C31+C35+C40</f>
        <v>203.84262295081967</v>
      </c>
      <c r="D26" s="203" t="s">
        <v>220</v>
      </c>
      <c r="E26" s="203"/>
      <c r="F26" s="200" t="s">
        <v>221</v>
      </c>
      <c r="G26" s="200"/>
      <c r="H26" s="200"/>
    </row>
    <row r="27" spans="1:8" ht="20.100000000000001" customHeight="1">
      <c r="A27" s="196" t="s">
        <v>68</v>
      </c>
      <c r="B27" s="193" t="s">
        <v>222</v>
      </c>
      <c r="C27" s="102">
        <f>C21*(C28-((C28/C12)+(C28/C12)+(C28*(C16/C11))))</f>
        <v>164.87119437939111</v>
      </c>
      <c r="D27" s="199" t="s">
        <v>212</v>
      </c>
      <c r="E27" s="195" t="s">
        <v>159</v>
      </c>
      <c r="F27" s="200"/>
      <c r="G27" s="200"/>
      <c r="H27" s="200"/>
    </row>
    <row r="28" spans="1:8" ht="20.100000000000001" customHeight="1">
      <c r="A28" s="194" t="s">
        <v>223</v>
      </c>
      <c r="B28" s="195" t="s">
        <v>224</v>
      </c>
      <c r="C28" s="99">
        <v>30</v>
      </c>
      <c r="D28" s="199" t="s">
        <v>225</v>
      </c>
      <c r="E28" s="195" t="s">
        <v>197</v>
      </c>
      <c r="F28" s="200"/>
      <c r="G28" s="200"/>
      <c r="H28" s="200"/>
    </row>
    <row r="29" spans="1:8" ht="20.100000000000001" customHeight="1">
      <c r="A29" s="196" t="s">
        <v>69</v>
      </c>
      <c r="B29" s="193" t="s">
        <v>226</v>
      </c>
      <c r="C29" s="103">
        <f>C30*C21</f>
        <v>24</v>
      </c>
      <c r="D29" s="199" t="s">
        <v>212</v>
      </c>
      <c r="E29" s="195" t="s">
        <v>159</v>
      </c>
      <c r="F29" s="200" t="s">
        <v>227</v>
      </c>
      <c r="G29" s="200"/>
      <c r="H29" s="200"/>
    </row>
    <row r="30" spans="1:8" ht="20.100000000000001" customHeight="1">
      <c r="A30" s="194" t="s">
        <v>228</v>
      </c>
      <c r="B30" s="195" t="s">
        <v>229</v>
      </c>
      <c r="C30" s="99">
        <v>3</v>
      </c>
      <c r="D30" s="199" t="s">
        <v>225</v>
      </c>
      <c r="E30" s="199" t="s">
        <v>197</v>
      </c>
      <c r="F30" s="200"/>
      <c r="G30" s="200"/>
      <c r="H30" s="200"/>
    </row>
    <row r="31" spans="1:8" ht="20.100000000000001" customHeight="1">
      <c r="A31" s="196" t="s">
        <v>70</v>
      </c>
      <c r="B31" s="193" t="s">
        <v>230</v>
      </c>
      <c r="C31" s="102">
        <f>C21*(C33-C34)*(C32/100)</f>
        <v>8.571428571428573</v>
      </c>
      <c r="D31" s="199" t="s">
        <v>212</v>
      </c>
      <c r="E31" s="195" t="s">
        <v>159</v>
      </c>
      <c r="F31" s="200" t="s">
        <v>231</v>
      </c>
      <c r="G31" s="200"/>
      <c r="H31" s="200"/>
    </row>
    <row r="32" spans="1:8" ht="20.100000000000001" customHeight="1">
      <c r="A32" s="194" t="s">
        <v>232</v>
      </c>
      <c r="B32" s="195" t="s">
        <v>233</v>
      </c>
      <c r="C32" s="99">
        <v>10</v>
      </c>
      <c r="D32" s="199" t="s">
        <v>234</v>
      </c>
      <c r="E32" s="195" t="s">
        <v>197</v>
      </c>
      <c r="F32" s="200"/>
      <c r="G32" s="200"/>
      <c r="H32" s="200"/>
    </row>
    <row r="33" spans="1:8" ht="20.100000000000001" customHeight="1">
      <c r="A33" s="194" t="s">
        <v>235</v>
      </c>
      <c r="B33" s="195" t="s">
        <v>236</v>
      </c>
      <c r="C33" s="99">
        <v>15</v>
      </c>
      <c r="D33" s="199" t="s">
        <v>225</v>
      </c>
      <c r="E33" s="195" t="s">
        <v>197</v>
      </c>
      <c r="F33" s="200" t="s">
        <v>237</v>
      </c>
      <c r="G33" s="200"/>
      <c r="H33" s="200"/>
    </row>
    <row r="34" spans="1:8" ht="20.100000000000001" customHeight="1">
      <c r="A34" s="194" t="s">
        <v>238</v>
      </c>
      <c r="B34" s="195" t="s">
        <v>239</v>
      </c>
      <c r="C34" s="100">
        <f>(C33/C12)*C13</f>
        <v>4.2857142857142856</v>
      </c>
      <c r="D34" s="199" t="s">
        <v>225</v>
      </c>
      <c r="E34" s="195" t="s">
        <v>159</v>
      </c>
      <c r="F34" s="200" t="s">
        <v>240</v>
      </c>
      <c r="G34" s="200"/>
      <c r="H34" s="200"/>
    </row>
    <row r="35" spans="1:8" ht="20.100000000000001" customHeight="1">
      <c r="A35" s="196" t="s">
        <v>71</v>
      </c>
      <c r="B35" s="193" t="s">
        <v>241</v>
      </c>
      <c r="C35" s="102">
        <f>C36*C21*(C38/100)*(C39/100)*(C23/C37)</f>
        <v>3.2</v>
      </c>
      <c r="D35" s="199" t="s">
        <v>212</v>
      </c>
      <c r="E35" s="195" t="s">
        <v>159</v>
      </c>
      <c r="F35" s="200" t="s">
        <v>242</v>
      </c>
      <c r="G35" s="200"/>
      <c r="H35" s="200"/>
    </row>
    <row r="36" spans="1:8" ht="20.100000000000001" customHeight="1">
      <c r="A36" s="194" t="s">
        <v>243</v>
      </c>
      <c r="B36" s="195" t="s">
        <v>244</v>
      </c>
      <c r="C36" s="101">
        <f>C12-C13</f>
        <v>5</v>
      </c>
      <c r="D36" s="199" t="s">
        <v>225</v>
      </c>
      <c r="E36" s="195" t="s">
        <v>159</v>
      </c>
      <c r="F36" s="200" t="s">
        <v>245</v>
      </c>
      <c r="G36" s="200" t="s">
        <v>246</v>
      </c>
      <c r="H36" s="200"/>
    </row>
    <row r="37" spans="1:8" ht="20.100000000000001" customHeight="1">
      <c r="A37" s="194" t="s">
        <v>247</v>
      </c>
      <c r="B37" s="195" t="s">
        <v>248</v>
      </c>
      <c r="C37" s="99">
        <v>24</v>
      </c>
      <c r="D37" s="199" t="s">
        <v>112</v>
      </c>
      <c r="E37" s="195" t="s">
        <v>197</v>
      </c>
      <c r="F37" s="200"/>
      <c r="G37" s="200"/>
      <c r="H37" s="200"/>
    </row>
    <row r="38" spans="1:8" ht="20.100000000000001" customHeight="1">
      <c r="A38" s="194" t="s">
        <v>249</v>
      </c>
      <c r="B38" s="195" t="s">
        <v>250</v>
      </c>
      <c r="C38" s="99">
        <v>80</v>
      </c>
      <c r="D38" s="199" t="s">
        <v>234</v>
      </c>
      <c r="E38" s="195" t="s">
        <v>197</v>
      </c>
      <c r="F38" s="200"/>
      <c r="G38" s="200"/>
      <c r="H38" s="200"/>
    </row>
    <row r="39" spans="1:8" ht="20.100000000000001" customHeight="1">
      <c r="A39" s="194" t="s">
        <v>251</v>
      </c>
      <c r="B39" s="195" t="s">
        <v>252</v>
      </c>
      <c r="C39" s="99">
        <v>20</v>
      </c>
      <c r="D39" s="199" t="s">
        <v>234</v>
      </c>
      <c r="E39" s="195" t="s">
        <v>197</v>
      </c>
      <c r="F39" s="200"/>
      <c r="G39" s="200"/>
      <c r="H39" s="200"/>
    </row>
    <row r="40" spans="1:8" ht="20.100000000000001" customHeight="1">
      <c r="A40" s="196" t="s">
        <v>72</v>
      </c>
      <c r="B40" s="193" t="s">
        <v>253</v>
      </c>
      <c r="C40" s="102">
        <f>C41*C21*(C42/100)*(C43/100)</f>
        <v>3.2</v>
      </c>
      <c r="D40" s="199" t="s">
        <v>212</v>
      </c>
      <c r="E40" s="195" t="s">
        <v>159</v>
      </c>
      <c r="F40" s="200" t="s">
        <v>254</v>
      </c>
      <c r="G40" s="200"/>
      <c r="H40" s="200"/>
    </row>
    <row r="41" spans="1:8" ht="20.100000000000001" customHeight="1">
      <c r="A41" s="194" t="s">
        <v>255</v>
      </c>
      <c r="B41" s="195" t="s">
        <v>256</v>
      </c>
      <c r="C41" s="99">
        <v>5</v>
      </c>
      <c r="D41" s="199" t="s">
        <v>225</v>
      </c>
      <c r="E41" s="195" t="s">
        <v>197</v>
      </c>
      <c r="F41" s="200"/>
      <c r="G41" s="200"/>
      <c r="H41" s="200"/>
    </row>
    <row r="42" spans="1:8" ht="20.100000000000001" customHeight="1">
      <c r="A42" s="194" t="s">
        <v>257</v>
      </c>
      <c r="B42" s="195" t="s">
        <v>258</v>
      </c>
      <c r="C42" s="99">
        <v>80</v>
      </c>
      <c r="D42" s="199" t="s">
        <v>234</v>
      </c>
      <c r="E42" s="195" t="s">
        <v>197</v>
      </c>
      <c r="F42" s="200"/>
      <c r="G42" s="200"/>
      <c r="H42" s="200"/>
    </row>
    <row r="43" spans="1:8" ht="20.100000000000001" customHeight="1">
      <c r="A43" s="194" t="s">
        <v>259</v>
      </c>
      <c r="B43" s="195" t="s">
        <v>260</v>
      </c>
      <c r="C43" s="106">
        <v>10</v>
      </c>
      <c r="D43" s="199" t="s">
        <v>234</v>
      </c>
      <c r="E43" s="195" t="s">
        <v>197</v>
      </c>
      <c r="F43" s="200"/>
      <c r="G43" s="200"/>
      <c r="H43" s="200"/>
    </row>
    <row r="44" spans="1:8" ht="5.0999999999999996" customHeight="1">
      <c r="A44" s="194"/>
      <c r="B44" s="194"/>
      <c r="C44" s="88"/>
      <c r="D44" s="199"/>
      <c r="E44" s="195"/>
      <c r="F44" s="194"/>
      <c r="G44" s="194"/>
      <c r="H44" s="194"/>
    </row>
    <row r="45" spans="1:8" ht="20.100000000000001" customHeight="1">
      <c r="A45" s="196">
        <v>4</v>
      </c>
      <c r="B45" s="193" t="s">
        <v>261</v>
      </c>
      <c r="C45" s="98">
        <v>5</v>
      </c>
      <c r="D45" s="204" t="s">
        <v>220</v>
      </c>
      <c r="E45" s="195" t="s">
        <v>197</v>
      </c>
      <c r="F45" s="194"/>
      <c r="G45" s="194"/>
      <c r="H45" s="194"/>
    </row>
    <row r="46" spans="1:8" ht="5.0999999999999996" customHeight="1">
      <c r="A46" s="87"/>
      <c r="B46" s="87"/>
      <c r="C46" s="88"/>
      <c r="D46" s="89"/>
      <c r="E46" s="90"/>
      <c r="F46" s="87"/>
      <c r="G46" s="87"/>
      <c r="H46" s="87"/>
    </row>
    <row r="47" spans="1:8" ht="20.100000000000001" customHeight="1">
      <c r="A47" s="82" t="s">
        <v>262</v>
      </c>
      <c r="B47" s="83" t="s">
        <v>263</v>
      </c>
      <c r="C47" s="655">
        <f>ROUND(C26+C45,2)</f>
        <v>208.84</v>
      </c>
      <c r="D47" s="84" t="s">
        <v>220</v>
      </c>
      <c r="E47" s="85" t="s">
        <v>159</v>
      </c>
      <c r="F47" s="721" t="s">
        <v>264</v>
      </c>
      <c r="G47" s="721"/>
      <c r="H47" s="721"/>
    </row>
    <row r="48" spans="1:8" ht="20.100000000000001" customHeight="1">
      <c r="A48" s="82" t="s">
        <v>265</v>
      </c>
      <c r="B48" s="83" t="s">
        <v>266</v>
      </c>
      <c r="C48" s="655">
        <f>ROUND(C22-C47,2)</f>
        <v>1802.59</v>
      </c>
      <c r="D48" s="84" t="s">
        <v>220</v>
      </c>
      <c r="E48" s="85" t="s">
        <v>159</v>
      </c>
      <c r="F48" s="721" t="s">
        <v>267</v>
      </c>
      <c r="G48" s="721"/>
      <c r="H48" s="721"/>
    </row>
    <row r="49" spans="1:8" ht="20.100000000000001" customHeight="1">
      <c r="A49" s="82" t="s">
        <v>268</v>
      </c>
      <c r="B49" s="83" t="s">
        <v>269</v>
      </c>
      <c r="C49" s="655">
        <f>ROUND(C48/C23,2)</f>
        <v>150.22</v>
      </c>
      <c r="D49" s="84" t="s">
        <v>270</v>
      </c>
      <c r="E49" s="85" t="s">
        <v>159</v>
      </c>
      <c r="F49" s="721" t="s">
        <v>271</v>
      </c>
      <c r="G49" s="721"/>
      <c r="H49" s="721"/>
    </row>
    <row r="50" spans="1:8" ht="20.100000000000001" customHeight="1">
      <c r="A50" s="87"/>
      <c r="B50" s="87"/>
      <c r="C50" s="91"/>
      <c r="D50" s="89"/>
      <c r="E50" s="87"/>
      <c r="F50" s="87"/>
      <c r="G50" s="87"/>
      <c r="H50" s="87"/>
    </row>
    <row r="51" spans="1:8" ht="20.100000000000001" customHeight="1">
      <c r="A51" s="87"/>
      <c r="B51" s="87"/>
      <c r="C51" s="91"/>
      <c r="D51" s="87"/>
      <c r="E51" s="87"/>
      <c r="F51" s="87"/>
      <c r="G51" s="87"/>
      <c r="H51" s="87"/>
    </row>
    <row r="52" spans="1:8" ht="20.100000000000001" customHeight="1">
      <c r="A52" s="87"/>
      <c r="B52" s="87"/>
      <c r="C52" s="88"/>
      <c r="D52" s="87"/>
      <c r="E52" s="87"/>
      <c r="F52" s="87"/>
      <c r="G52" s="87"/>
      <c r="H52" s="87"/>
    </row>
    <row r="53" spans="1:8" ht="20.100000000000001" customHeight="1">
      <c r="A53" s="87"/>
      <c r="B53" s="87"/>
      <c r="C53" s="88"/>
      <c r="D53" s="87"/>
      <c r="E53" s="87"/>
      <c r="F53" s="87"/>
      <c r="G53" s="87"/>
      <c r="H53" s="87"/>
    </row>
    <row r="54" spans="1:8" ht="20.100000000000001" customHeight="1">
      <c r="A54" s="87"/>
      <c r="B54" s="87"/>
      <c r="C54" s="88"/>
      <c r="D54" s="87"/>
      <c r="E54" s="87"/>
      <c r="F54" s="87"/>
      <c r="G54" s="87"/>
      <c r="H54" s="87"/>
    </row>
    <row r="55" spans="1:8" ht="20.100000000000001" customHeight="1">
      <c r="A55" s="87"/>
      <c r="B55" s="87"/>
      <c r="C55" s="88"/>
      <c r="D55" s="87"/>
      <c r="E55" s="87"/>
      <c r="F55" s="87"/>
      <c r="G55" s="87"/>
      <c r="H55" s="87"/>
    </row>
    <row r="56" spans="1:8" ht="20.100000000000001" customHeight="1">
      <c r="A56" s="87"/>
      <c r="B56" s="87"/>
      <c r="C56" s="88"/>
      <c r="D56" s="87"/>
      <c r="E56" s="87"/>
      <c r="F56" s="87"/>
      <c r="G56" s="87"/>
      <c r="H56" s="87"/>
    </row>
    <row r="57" spans="1:8" ht="20.100000000000001" customHeight="1">
      <c r="A57" s="87"/>
      <c r="B57" s="87"/>
      <c r="C57" s="88"/>
      <c r="D57" s="87"/>
      <c r="E57" s="87"/>
      <c r="F57" s="87"/>
      <c r="G57" s="87"/>
      <c r="H57" s="87"/>
    </row>
    <row r="58" spans="1:8" ht="20.100000000000001" customHeight="1">
      <c r="D58" s="86"/>
      <c r="E58" s="86"/>
    </row>
    <row r="59" spans="1:8" ht="20.100000000000001" customHeight="1">
      <c r="D59" s="86"/>
      <c r="E59" s="86"/>
    </row>
    <row r="60" spans="1:8" ht="20.100000000000001" customHeight="1">
      <c r="D60" s="86"/>
      <c r="E60" s="86"/>
    </row>
    <row r="61" spans="1:8" ht="20.100000000000001" customHeight="1">
      <c r="D61" s="86"/>
      <c r="E61" s="86"/>
    </row>
    <row r="62" spans="1:8" ht="20.100000000000001" customHeight="1">
      <c r="D62" s="86"/>
      <c r="E62" s="86"/>
    </row>
    <row r="63" spans="1:8" ht="20.100000000000001" customHeight="1"/>
    <row r="64" spans="1:8" ht="20.100000000000001" customHeight="1"/>
    <row r="65" s="86" customFormat="1" ht="20.100000000000001" customHeight="1"/>
    <row r="66" s="86" customFormat="1" ht="20.100000000000001" customHeight="1"/>
    <row r="67" s="86" customFormat="1" ht="20.100000000000001" customHeight="1"/>
    <row r="68" s="86" customFormat="1" ht="20.100000000000001" customHeight="1"/>
    <row r="69" s="86" customFormat="1" ht="20.100000000000001" customHeight="1"/>
    <row r="70" s="86" customFormat="1" ht="20.100000000000001" customHeight="1"/>
    <row r="71" s="86" customFormat="1" ht="20.100000000000001" customHeight="1"/>
    <row r="72" s="86" customFormat="1" ht="20.100000000000001" customHeight="1"/>
    <row r="73" s="86" customFormat="1" ht="20.100000000000001" customHeight="1"/>
    <row r="74" s="86" customFormat="1" ht="20.100000000000001" customHeight="1"/>
  </sheetData>
  <mergeCells count="5">
    <mergeCell ref="F47:H47"/>
    <mergeCell ref="F48:H48"/>
    <mergeCell ref="F49:H49"/>
    <mergeCell ref="E8:H8"/>
    <mergeCell ref="A1:H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8" tint="-0.249977111117893"/>
    <pageSetUpPr fitToPage="1"/>
  </sheetPr>
  <dimension ref="A1:Y16"/>
  <sheetViews>
    <sheetView view="pageBreakPreview" zoomScaleNormal="100" zoomScaleSheetLayoutView="100" workbookViewId="0">
      <selection activeCell="A6" sqref="A6"/>
    </sheetView>
  </sheetViews>
  <sheetFormatPr defaultColWidth="9.140625" defaultRowHeight="15.6"/>
  <cols>
    <col min="1" max="1" width="9.85546875" style="179" bestFit="1" customWidth="1"/>
    <col min="2" max="8" width="9" style="179" bestFit="1" customWidth="1"/>
    <col min="9" max="9" width="11.7109375" style="179" customWidth="1"/>
    <col min="10" max="10" width="9" style="179" bestFit="1" customWidth="1"/>
    <col min="11" max="11" width="10.140625" style="179" bestFit="1" customWidth="1"/>
    <col min="12" max="14" width="9" style="179" bestFit="1" customWidth="1"/>
    <col min="15" max="15" width="10.85546875" style="179" customWidth="1"/>
    <col min="16" max="16" width="10.42578125" style="179" bestFit="1" customWidth="1"/>
    <col min="17" max="17" width="8.7109375" style="179" customWidth="1"/>
    <col min="18" max="18" width="14.85546875" style="86" customWidth="1"/>
    <col min="19" max="19" width="15.28515625" style="86" customWidth="1"/>
    <col min="20" max="20" width="14" style="86" customWidth="1"/>
    <col min="21" max="21" width="9.140625" style="86"/>
    <col min="22" max="22" width="12" style="86" customWidth="1"/>
    <col min="23" max="23" width="17.140625" style="86" bestFit="1" customWidth="1"/>
    <col min="24" max="25" width="15.42578125" style="86" customWidth="1"/>
    <col min="26" max="16384" width="9.140625" style="179"/>
  </cols>
  <sheetData>
    <row r="1" spans="1:16" ht="42.6" customHeight="1">
      <c r="A1" s="727"/>
      <c r="B1" s="727"/>
      <c r="C1" s="727" t="s">
        <v>272</v>
      </c>
      <c r="D1" s="727"/>
      <c r="E1" s="727"/>
      <c r="F1" s="727"/>
      <c r="G1" s="727"/>
      <c r="H1" s="727"/>
      <c r="I1" s="727"/>
      <c r="J1" s="727"/>
      <c r="K1" s="727"/>
      <c r="L1" s="727"/>
      <c r="M1" s="727"/>
      <c r="N1" s="421" t="s">
        <v>143</v>
      </c>
      <c r="O1" s="643">
        <f ca="1">Capa!E53</f>
        <v>46170</v>
      </c>
    </row>
    <row r="2" spans="1:16" ht="19.899999999999999" customHeight="1">
      <c r="A2" s="728" t="s">
        <v>273</v>
      </c>
      <c r="B2" s="728"/>
      <c r="C2" s="728"/>
      <c r="D2" s="728"/>
      <c r="E2" s="728"/>
      <c r="F2" s="728"/>
      <c r="G2" s="728"/>
      <c r="H2" s="728"/>
      <c r="I2" s="728"/>
      <c r="J2" s="728"/>
      <c r="K2" s="728"/>
      <c r="L2" s="728"/>
      <c r="M2" s="728"/>
      <c r="N2" s="728"/>
      <c r="O2" s="728"/>
    </row>
    <row r="3" spans="1:16">
      <c r="A3" s="724" t="s">
        <v>274</v>
      </c>
      <c r="B3" s="724"/>
      <c r="C3" s="725" t="s">
        <v>275</v>
      </c>
      <c r="D3" s="726"/>
      <c r="E3" s="726"/>
      <c r="F3" s="726"/>
      <c r="G3" s="726"/>
      <c r="H3" s="726"/>
      <c r="I3" s="726"/>
      <c r="J3" s="726"/>
      <c r="K3" s="726"/>
      <c r="L3" s="726"/>
      <c r="M3" s="726"/>
      <c r="N3" s="726"/>
      <c r="O3" s="726"/>
    </row>
    <row r="4" spans="1:16" ht="27" customHeight="1">
      <c r="A4" s="644" t="s">
        <v>276</v>
      </c>
      <c r="B4" s="644">
        <v>2012</v>
      </c>
      <c r="C4" s="644">
        <v>2013</v>
      </c>
      <c r="D4" s="644">
        <v>2014</v>
      </c>
      <c r="E4" s="644">
        <v>2015</v>
      </c>
      <c r="F4" s="644">
        <v>2016</v>
      </c>
      <c r="G4" s="644">
        <v>2017</v>
      </c>
      <c r="H4" s="644">
        <v>2018</v>
      </c>
      <c r="I4" s="644">
        <v>2019</v>
      </c>
      <c r="J4" s="644">
        <v>2020</v>
      </c>
      <c r="K4" s="644">
        <v>2021</v>
      </c>
      <c r="L4" s="644">
        <v>2022</v>
      </c>
      <c r="M4" s="644">
        <v>2023</v>
      </c>
      <c r="N4" s="644">
        <v>2024</v>
      </c>
      <c r="O4" s="644">
        <v>2025</v>
      </c>
      <c r="P4" s="644">
        <v>2026</v>
      </c>
    </row>
    <row r="5" spans="1:16" ht="17.25">
      <c r="A5" s="645" t="s">
        <v>277</v>
      </c>
      <c r="B5" s="646">
        <v>178.82900000000001</v>
      </c>
      <c r="C5" s="646">
        <v>185.32499999999999</v>
      </c>
      <c r="D5" s="646">
        <v>192.333</v>
      </c>
      <c r="E5" s="646">
        <v>199.928</v>
      </c>
      <c r="F5" s="646">
        <v>206.78399999999999</v>
      </c>
      <c r="G5" s="646">
        <v>213.434</v>
      </c>
      <c r="H5" s="646">
        <v>220.124</v>
      </c>
      <c r="I5" s="646">
        <v>226.40899999999999</v>
      </c>
      <c r="J5" s="646">
        <v>239.08600000000001</v>
      </c>
      <c r="K5" s="646">
        <v>245.714</v>
      </c>
      <c r="L5" s="646">
        <v>258.00900000000001</v>
      </c>
      <c r="M5" s="646">
        <v>276.13299999999998</v>
      </c>
      <c r="N5" s="647">
        <v>290.267</v>
      </c>
      <c r="O5" s="647">
        <v>302.16000000000003</v>
      </c>
      <c r="P5" s="670">
        <v>311.803</v>
      </c>
    </row>
    <row r="6" spans="1:16" ht="17.25">
      <c r="A6" s="648" t="s">
        <v>278</v>
      </c>
      <c r="B6" s="649">
        <v>178.45599999999999</v>
      </c>
      <c r="C6" s="649">
        <v>185.47399999999999</v>
      </c>
      <c r="D6" s="649">
        <v>192.614</v>
      </c>
      <c r="E6" s="649">
        <v>200.41499999999999</v>
      </c>
      <c r="F6" s="649">
        <v>206.10300000000001</v>
      </c>
      <c r="G6" s="649">
        <v>214.39099999999999</v>
      </c>
      <c r="H6" s="649">
        <v>220.74100000000001</v>
      </c>
      <c r="I6" s="649">
        <v>226.11699999999999</v>
      </c>
      <c r="J6" s="650">
        <v>239.69</v>
      </c>
      <c r="K6" s="649">
        <v>245.83600000000001</v>
      </c>
      <c r="L6" s="649">
        <v>259.05</v>
      </c>
      <c r="M6" s="649">
        <v>277.43700000000001</v>
      </c>
      <c r="N6" s="650">
        <v>288.77199999999999</v>
      </c>
      <c r="O6" s="650">
        <v>302.83100000000002</v>
      </c>
      <c r="P6" s="650">
        <v>311.93799999999999</v>
      </c>
    </row>
    <row r="7" spans="1:16" ht="17.25">
      <c r="A7" s="645" t="s">
        <v>279</v>
      </c>
      <c r="B7" s="647">
        <v>178.73</v>
      </c>
      <c r="C7" s="646">
        <v>185.97399999999999</v>
      </c>
      <c r="D7" s="646">
        <v>192.91800000000001</v>
      </c>
      <c r="E7" s="646">
        <v>200.952</v>
      </c>
      <c r="F7" s="646">
        <v>206.392</v>
      </c>
      <c r="G7" s="646">
        <v>213.959</v>
      </c>
      <c r="H7" s="646">
        <v>221.529</v>
      </c>
      <c r="I7" s="646">
        <v>225.755</v>
      </c>
      <c r="J7" s="646">
        <v>239.613</v>
      </c>
      <c r="K7" s="646">
        <v>276.13299999999998</v>
      </c>
      <c r="L7" s="646">
        <v>259.78500000000003</v>
      </c>
      <c r="M7" s="646">
        <v>277.09300000000002</v>
      </c>
      <c r="N7" s="647">
        <v>289.85700000000003</v>
      </c>
      <c r="O7" s="647">
        <v>303.68700000000001</v>
      </c>
      <c r="P7" s="647"/>
    </row>
    <row r="8" spans="1:16" ht="17.25">
      <c r="A8" s="648" t="s">
        <v>280</v>
      </c>
      <c r="B8" s="649">
        <v>178.98699999999999</v>
      </c>
      <c r="C8" s="649">
        <v>186.15700000000001</v>
      </c>
      <c r="D8" s="649">
        <v>193.488</v>
      </c>
      <c r="E8" s="649">
        <v>201.065</v>
      </c>
      <c r="F8" s="649">
        <v>206.33600000000001</v>
      </c>
      <c r="G8" s="649">
        <v>215.33500000000001</v>
      </c>
      <c r="H8" s="650">
        <v>222.09</v>
      </c>
      <c r="I8" s="649">
        <v>226.119</v>
      </c>
      <c r="J8" s="649">
        <v>239.05500000000001</v>
      </c>
      <c r="K8" s="649">
        <v>247.32599999999999</v>
      </c>
      <c r="L8" s="649">
        <v>259.91300000000001</v>
      </c>
      <c r="M8" s="649">
        <v>277.97199999999998</v>
      </c>
      <c r="N8" s="650">
        <v>289.58300000000003</v>
      </c>
      <c r="O8" s="650">
        <v>303.67500000000001</v>
      </c>
      <c r="P8" s="650"/>
    </row>
    <row r="9" spans="1:16" ht="17.25">
      <c r="A9" s="645" t="s">
        <v>281</v>
      </c>
      <c r="B9" s="646">
        <v>180.119</v>
      </c>
      <c r="C9" s="646">
        <v>186.46700000000001</v>
      </c>
      <c r="D9" s="646">
        <v>194.13200000000001</v>
      </c>
      <c r="E9" s="646">
        <v>201.46</v>
      </c>
      <c r="F9" s="646">
        <v>206.78800000000001</v>
      </c>
      <c r="G9" s="646">
        <v>215.28399999999999</v>
      </c>
      <c r="H9" s="646">
        <v>222.637</v>
      </c>
      <c r="I9" s="646">
        <v>227.136</v>
      </c>
      <c r="J9" s="646">
        <v>239.39500000000001</v>
      </c>
      <c r="K9" s="646">
        <v>247.64500000000001</v>
      </c>
      <c r="L9" s="646">
        <v>260.548</v>
      </c>
      <c r="M9" s="646">
        <v>277.43700000000001</v>
      </c>
      <c r="N9" s="647">
        <v>290.572</v>
      </c>
      <c r="O9" s="647">
        <v>303.56299999999999</v>
      </c>
      <c r="P9" s="647"/>
    </row>
    <row r="10" spans="1:16" ht="17.25">
      <c r="A10" s="648" t="s">
        <v>282</v>
      </c>
      <c r="B10" s="649">
        <v>181.55799999999999</v>
      </c>
      <c r="C10" s="649">
        <v>187.994</v>
      </c>
      <c r="D10" s="649">
        <v>195.11600000000001</v>
      </c>
      <c r="E10" s="649">
        <v>201.89400000000001</v>
      </c>
      <c r="F10" s="649">
        <v>208.63800000000001</v>
      </c>
      <c r="G10" s="649">
        <v>216.17599999999999</v>
      </c>
      <c r="H10" s="649">
        <v>223.10900000000001</v>
      </c>
      <c r="I10" s="649">
        <v>229.96600000000001</v>
      </c>
      <c r="J10" s="649">
        <v>240.00299999999999</v>
      </c>
      <c r="K10" s="649">
        <v>249.93700000000001</v>
      </c>
      <c r="L10" s="649">
        <v>263.50200000000001</v>
      </c>
      <c r="M10" s="649">
        <v>282.935</v>
      </c>
      <c r="N10" s="650">
        <v>293.83600000000001</v>
      </c>
      <c r="O10" s="650">
        <v>304.10599999999999</v>
      </c>
      <c r="P10" s="650"/>
    </row>
    <row r="11" spans="1:16" ht="17.25">
      <c r="A11" s="645" t="s">
        <v>283</v>
      </c>
      <c r="B11" s="646">
        <v>184.512</v>
      </c>
      <c r="C11" s="646">
        <v>189.39500000000001</v>
      </c>
      <c r="D11" s="646">
        <v>195.94399999999999</v>
      </c>
      <c r="E11" s="646">
        <v>203.065</v>
      </c>
      <c r="F11" s="646">
        <v>209.86699999999999</v>
      </c>
      <c r="G11" s="646">
        <v>216.619</v>
      </c>
      <c r="H11" s="646">
        <v>223.233</v>
      </c>
      <c r="I11" s="646">
        <v>230.827</v>
      </c>
      <c r="J11" s="646">
        <v>240.929</v>
      </c>
      <c r="K11" s="646">
        <v>277.43700000000001</v>
      </c>
      <c r="L11" s="646">
        <v>266.49099999999999</v>
      </c>
      <c r="M11" s="646">
        <v>287.45999999999998</v>
      </c>
      <c r="N11" s="647">
        <v>295.84500000000003</v>
      </c>
      <c r="O11" s="647">
        <v>307.56400000000002</v>
      </c>
      <c r="P11" s="647"/>
    </row>
    <row r="12" spans="1:16" ht="17.25">
      <c r="A12" s="648" t="s">
        <v>284</v>
      </c>
      <c r="B12" s="649">
        <v>184.67500000000001</v>
      </c>
      <c r="C12" s="649">
        <v>190.32499999999999</v>
      </c>
      <c r="D12" s="649">
        <v>197.363</v>
      </c>
      <c r="E12" s="649">
        <v>204.333</v>
      </c>
      <c r="F12" s="649">
        <v>210.21199999999999</v>
      </c>
      <c r="G12" s="649">
        <v>216.648</v>
      </c>
      <c r="H12" s="649">
        <v>223.328</v>
      </c>
      <c r="I12" s="649">
        <v>230.78299999999999</v>
      </c>
      <c r="J12" s="649">
        <v>242.10300000000001</v>
      </c>
      <c r="K12" s="649">
        <v>251.964</v>
      </c>
      <c r="L12" s="649">
        <v>269.72000000000003</v>
      </c>
      <c r="M12" s="649">
        <v>289.59899999999999</v>
      </c>
      <c r="N12" s="650">
        <v>297.48099999999999</v>
      </c>
      <c r="O12" s="650">
        <v>307.87</v>
      </c>
      <c r="P12" s="650"/>
    </row>
    <row r="13" spans="1:16" ht="17.25">
      <c r="A13" s="645" t="s">
        <v>285</v>
      </c>
      <c r="B13" s="646">
        <v>184.971</v>
      </c>
      <c r="C13" s="646">
        <v>190.298</v>
      </c>
      <c r="D13" s="646">
        <v>198.27099999999999</v>
      </c>
      <c r="E13" s="647">
        <v>204.68</v>
      </c>
      <c r="F13" s="646">
        <v>210.386</v>
      </c>
      <c r="G13" s="646">
        <v>216.929</v>
      </c>
      <c r="H13" s="646">
        <v>223.666</v>
      </c>
      <c r="I13" s="646">
        <v>231.01900000000001</v>
      </c>
      <c r="J13" s="646">
        <v>243.71799999999999</v>
      </c>
      <c r="K13" s="646">
        <v>252.42500000000001</v>
      </c>
      <c r="L13" s="646">
        <v>270.28800000000001</v>
      </c>
      <c r="M13" s="646">
        <v>289.83800000000002</v>
      </c>
      <c r="N13" s="646">
        <v>298.83999999999997</v>
      </c>
      <c r="O13" s="646">
        <v>309.40699999999998</v>
      </c>
      <c r="P13" s="646"/>
    </row>
    <row r="14" spans="1:16" ht="17.25">
      <c r="A14" s="648" t="s">
        <v>286</v>
      </c>
      <c r="B14" s="649">
        <v>184.59200000000001</v>
      </c>
      <c r="C14" s="650">
        <v>190.54</v>
      </c>
      <c r="D14" s="649">
        <v>198.648</v>
      </c>
      <c r="E14" s="649">
        <v>204.73699999999999</v>
      </c>
      <c r="F14" s="649">
        <v>211.327</v>
      </c>
      <c r="G14" s="649">
        <v>217.65100000000001</v>
      </c>
      <c r="H14" s="649">
        <v>224.273</v>
      </c>
      <c r="I14" s="649">
        <v>231.095</v>
      </c>
      <c r="J14" s="649">
        <v>244.381</v>
      </c>
      <c r="K14" s="649">
        <v>255.76599999999999</v>
      </c>
      <c r="L14" s="649">
        <v>271.37200000000001</v>
      </c>
      <c r="M14" s="650">
        <v>291.49799999999999</v>
      </c>
      <c r="N14" s="649">
        <v>299.18200000000002</v>
      </c>
      <c r="O14" s="649">
        <v>309.98500000000001</v>
      </c>
      <c r="P14" s="649"/>
    </row>
    <row r="15" spans="1:16" ht="17.25">
      <c r="A15" s="645" t="s">
        <v>287</v>
      </c>
      <c r="B15" s="646">
        <v>184.67099999999999</v>
      </c>
      <c r="C15" s="646">
        <v>190.87200000000001</v>
      </c>
      <c r="D15" s="646">
        <v>199.03700000000001</v>
      </c>
      <c r="E15" s="646">
        <v>205.26300000000001</v>
      </c>
      <c r="F15" s="646">
        <v>211.32499999999999</v>
      </c>
      <c r="G15" s="646">
        <v>218.05799999999999</v>
      </c>
      <c r="H15" s="647">
        <v>225.13</v>
      </c>
      <c r="I15" s="646">
        <v>234.64699999999999</v>
      </c>
      <c r="J15" s="646">
        <v>244.83799999999999</v>
      </c>
      <c r="K15" s="646">
        <v>256.72500000000002</v>
      </c>
      <c r="L15" s="646">
        <v>273.77300000000002</v>
      </c>
      <c r="M15" s="647">
        <v>290.48599999999999</v>
      </c>
      <c r="N15" s="646">
        <v>299.315</v>
      </c>
      <c r="O15" s="670">
        <v>309.81799999999998</v>
      </c>
      <c r="P15" s="646"/>
    </row>
    <row r="16" spans="1:16" ht="17.25">
      <c r="A16" s="651" t="s">
        <v>288</v>
      </c>
      <c r="B16" s="652">
        <v>185.184</v>
      </c>
      <c r="C16" s="652">
        <v>191.59800000000001</v>
      </c>
      <c r="D16" s="652">
        <v>199.559</v>
      </c>
      <c r="E16" s="652">
        <v>205.53399999999999</v>
      </c>
      <c r="F16" s="652">
        <v>212.13200000000001</v>
      </c>
      <c r="G16" s="652">
        <v>218.489</v>
      </c>
      <c r="H16" s="652">
        <v>225.392</v>
      </c>
      <c r="I16" s="653">
        <v>236.55</v>
      </c>
      <c r="J16" s="652">
        <v>245.291</v>
      </c>
      <c r="K16" s="652">
        <v>257.14800000000002</v>
      </c>
      <c r="L16" s="652">
        <v>273.67599999999999</v>
      </c>
      <c r="M16" s="653">
        <v>290.18900000000002</v>
      </c>
      <c r="N16" s="653">
        <v>300.00099999999998</v>
      </c>
      <c r="O16" s="670">
        <v>310.83800000000002</v>
      </c>
      <c r="P16" s="653"/>
    </row>
  </sheetData>
  <mergeCells count="5">
    <mergeCell ref="A3:B3"/>
    <mergeCell ref="C3:O3"/>
    <mergeCell ref="C1:M1"/>
    <mergeCell ref="A1:B1"/>
    <mergeCell ref="A2:O2"/>
  </mergeCells>
  <hyperlinks>
    <hyperlink ref="C3" r:id="rId1" xr:uid="{DABA443F-3C15-42B5-8F51-635B003E4D9F}"/>
  </hyperlinks>
  <printOptions horizontalCentered="1"/>
  <pageMargins left="0.51181102362204722" right="0.51181102362204722" top="0.78740157480314965" bottom="0.78740157480314965" header="0.31496062992125984" footer="0.31496062992125984"/>
  <pageSetup paperSize="9" scale="96" orientation="landscape" r:id="rId2"/>
  <headerFooter>
    <oddFooter>&amp;L&amp;F&amp;C&amp;A&amp;R&amp;P/&amp;N</oddFooter>
  </headerFooter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8" tint="-0.249977111117893"/>
    <pageSetUpPr fitToPage="1"/>
  </sheetPr>
  <dimension ref="A1:F23"/>
  <sheetViews>
    <sheetView showGridLines="0" view="pageBreakPreview" topLeftCell="A4" zoomScale="85" zoomScaleNormal="130" zoomScaleSheetLayoutView="85" workbookViewId="0">
      <selection activeCell="C23" sqref="C23"/>
    </sheetView>
  </sheetViews>
  <sheetFormatPr defaultColWidth="9.140625" defaultRowHeight="20.25" customHeight="1"/>
  <cols>
    <col min="1" max="1" width="15.7109375" style="73" customWidth="1"/>
    <col min="2" max="2" width="22" style="73" customWidth="1"/>
    <col min="3" max="3" width="25" style="73" bestFit="1" customWidth="1"/>
    <col min="4" max="4" width="24" style="73" bestFit="1" customWidth="1"/>
    <col min="5" max="6" width="15.140625" style="73" bestFit="1" customWidth="1"/>
  </cols>
  <sheetData>
    <row r="1" spans="1:6" ht="20.25" customHeight="1">
      <c r="A1" s="654"/>
      <c r="B1" s="723" t="str">
        <f>Capa!A19</f>
        <v xml:space="preserve">ORÇAMENTO PARA ELABORAÇÃO DE PROJETOS DE SISTEMA DE ESGOTAMENTO SANITÁRIO </v>
      </c>
      <c r="C1" s="723"/>
      <c r="D1" s="723"/>
      <c r="E1" s="723"/>
      <c r="F1" s="723"/>
    </row>
    <row r="2" spans="1:6" ht="20.25" customHeight="1">
      <c r="A2" s="654"/>
      <c r="B2" s="723"/>
      <c r="C2" s="723"/>
      <c r="D2" s="723"/>
      <c r="E2" s="723"/>
      <c r="F2" s="723"/>
    </row>
    <row r="3" spans="1:6" ht="20.25" customHeight="1">
      <c r="A3" s="654"/>
      <c r="B3" s="654"/>
      <c r="C3" s="654"/>
      <c r="D3" s="654"/>
      <c r="E3" s="654"/>
      <c r="F3" s="654"/>
    </row>
    <row r="4" spans="1:6" ht="20.25" customHeight="1">
      <c r="A4" s="261" t="s">
        <v>289</v>
      </c>
      <c r="B4" s="59"/>
      <c r="C4" s="59"/>
      <c r="D4" s="60"/>
      <c r="E4" s="62" t="s">
        <v>143</v>
      </c>
      <c r="F4" s="262">
        <f ca="1">'Dados Básicos do município'!H4</f>
        <v>46170</v>
      </c>
    </row>
    <row r="5" spans="1:6" ht="20.25" customHeight="1">
      <c r="A5" s="59" t="s">
        <v>144</v>
      </c>
      <c r="B5" s="64" t="str">
        <f>'Dados Básicos do município'!B5</f>
        <v>CBH-PIRANGA</v>
      </c>
      <c r="C5" s="86"/>
      <c r="D5" s="53"/>
      <c r="E5" s="60"/>
      <c r="F5" s="60"/>
    </row>
    <row r="6" spans="1:6" ht="20.25" customHeight="1" thickBot="1">
      <c r="A6" s="392" t="s">
        <v>145</v>
      </c>
      <c r="B6" s="393" t="str">
        <f>'Dados Básicos do município'!B6</f>
        <v>São Miguel do Anta/MG</v>
      </c>
      <c r="C6" s="86"/>
      <c r="D6" s="53"/>
      <c r="F6" s="394"/>
    </row>
    <row r="7" spans="1:6" ht="50.25" customHeight="1" thickBot="1">
      <c r="A7" s="732" t="s">
        <v>190</v>
      </c>
      <c r="B7" s="734" t="s">
        <v>290</v>
      </c>
      <c r="C7" s="734" t="s">
        <v>291</v>
      </c>
      <c r="D7" s="396" t="s">
        <v>292</v>
      </c>
      <c r="E7" s="396" t="s">
        <v>293</v>
      </c>
      <c r="F7" s="396" t="s">
        <v>294</v>
      </c>
    </row>
    <row r="8" spans="1:6" ht="20.25" customHeight="1">
      <c r="A8" s="733"/>
      <c r="B8" s="735"/>
      <c r="C8" s="735"/>
      <c r="D8" s="389" t="s">
        <v>157</v>
      </c>
      <c r="E8" s="389" t="s">
        <v>157</v>
      </c>
      <c r="F8" s="389" t="s">
        <v>196</v>
      </c>
    </row>
    <row r="9" spans="1:6" ht="20.25" customHeight="1">
      <c r="A9" s="736">
        <v>1</v>
      </c>
      <c r="B9" s="739" t="str">
        <f>Capa!B30</f>
        <v>São Miguel do Anta/MG</v>
      </c>
      <c r="C9" s="272" t="s">
        <v>295</v>
      </c>
      <c r="D9" s="729">
        <f>'Dados Básicos do município'!C11</f>
        <v>323</v>
      </c>
      <c r="E9" s="273">
        <f t="shared" ref="E9:E18" si="0">($D$9*2)+($C$23*F9)</f>
        <v>666</v>
      </c>
      <c r="F9" s="388">
        <v>1</v>
      </c>
    </row>
    <row r="10" spans="1:6" ht="20.25" customHeight="1">
      <c r="A10" s="737"/>
      <c r="B10" s="740"/>
      <c r="C10" s="272" t="s">
        <v>295</v>
      </c>
      <c r="D10" s="730"/>
      <c r="E10" s="273">
        <f t="shared" si="0"/>
        <v>686</v>
      </c>
      <c r="F10" s="388">
        <v>2</v>
      </c>
    </row>
    <row r="11" spans="1:6" ht="20.25" customHeight="1">
      <c r="A11" s="737"/>
      <c r="B11" s="740"/>
      <c r="C11" s="272" t="s">
        <v>295</v>
      </c>
      <c r="D11" s="730"/>
      <c r="E11" s="273">
        <f t="shared" si="0"/>
        <v>706</v>
      </c>
      <c r="F11" s="388">
        <v>3</v>
      </c>
    </row>
    <row r="12" spans="1:6" ht="20.25" customHeight="1">
      <c r="A12" s="737"/>
      <c r="B12" s="740"/>
      <c r="C12" s="272" t="s">
        <v>295</v>
      </c>
      <c r="D12" s="730"/>
      <c r="E12" s="273">
        <f t="shared" si="0"/>
        <v>726</v>
      </c>
      <c r="F12" s="388">
        <v>4</v>
      </c>
    </row>
    <row r="13" spans="1:6" ht="20.25" customHeight="1">
      <c r="A13" s="737"/>
      <c r="B13" s="740"/>
      <c r="C13" s="272" t="s">
        <v>295</v>
      </c>
      <c r="D13" s="730"/>
      <c r="E13" s="273">
        <f t="shared" si="0"/>
        <v>746</v>
      </c>
      <c r="F13" s="388">
        <v>5</v>
      </c>
    </row>
    <row r="14" spans="1:6" ht="20.25" customHeight="1">
      <c r="A14" s="737"/>
      <c r="B14" s="740"/>
      <c r="C14" s="272" t="s">
        <v>295</v>
      </c>
      <c r="D14" s="730"/>
      <c r="E14" s="273">
        <f t="shared" si="0"/>
        <v>766</v>
      </c>
      <c r="F14" s="388">
        <v>6</v>
      </c>
    </row>
    <row r="15" spans="1:6" ht="20.25" customHeight="1">
      <c r="A15" s="737"/>
      <c r="B15" s="740"/>
      <c r="C15" s="272" t="s">
        <v>295</v>
      </c>
      <c r="D15" s="730"/>
      <c r="E15" s="273">
        <f t="shared" si="0"/>
        <v>786</v>
      </c>
      <c r="F15" s="388">
        <v>7</v>
      </c>
    </row>
    <row r="16" spans="1:6" ht="20.25" customHeight="1">
      <c r="A16" s="737"/>
      <c r="B16" s="740"/>
      <c r="C16" s="272" t="s">
        <v>295</v>
      </c>
      <c r="D16" s="730"/>
      <c r="E16" s="273">
        <f t="shared" si="0"/>
        <v>806</v>
      </c>
      <c r="F16" s="388">
        <v>8</v>
      </c>
    </row>
    <row r="17" spans="1:6" ht="20.25" customHeight="1">
      <c r="A17" s="737"/>
      <c r="B17" s="740"/>
      <c r="C17" s="272" t="s">
        <v>295</v>
      </c>
      <c r="D17" s="730"/>
      <c r="E17" s="273">
        <f t="shared" si="0"/>
        <v>826</v>
      </c>
      <c r="F17" s="388">
        <v>9</v>
      </c>
    </row>
    <row r="18" spans="1:6" ht="20.25" customHeight="1" thickBot="1">
      <c r="A18" s="738"/>
      <c r="B18" s="741"/>
      <c r="C18" s="374" t="s">
        <v>295</v>
      </c>
      <c r="D18" s="731"/>
      <c r="E18" s="273">
        <f t="shared" si="0"/>
        <v>846</v>
      </c>
      <c r="F18" s="388">
        <v>10</v>
      </c>
    </row>
    <row r="19" spans="1:6" ht="20.25" customHeight="1" thickBot="1">
      <c r="A19" s="397">
        <v>4</v>
      </c>
      <c r="B19" s="398" t="s">
        <v>296</v>
      </c>
      <c r="C19" s="398" t="s">
        <v>295</v>
      </c>
      <c r="D19" s="602">
        <f>SUM(D9:D18)/10</f>
        <v>32.299999999999997</v>
      </c>
      <c r="E19" s="602">
        <f t="shared" ref="E19" si="1">AVERAGE(E9:E18)</f>
        <v>756</v>
      </c>
      <c r="F19" s="602">
        <f>AVERAGE(F9:F18)</f>
        <v>5.5</v>
      </c>
    </row>
    <row r="20" spans="1:6" ht="12" customHeight="1">
      <c r="A20" s="656" t="s">
        <v>297</v>
      </c>
      <c r="B20" s="657"/>
      <c r="C20" s="657"/>
      <c r="D20" s="657"/>
      <c r="E20" s="657"/>
      <c r="F20" s="657"/>
    </row>
    <row r="21" spans="1:6" ht="13.15">
      <c r="A21" s="656" t="s">
        <v>298</v>
      </c>
      <c r="B21" s="658" t="s">
        <v>299</v>
      </c>
      <c r="C21" s="659" t="s">
        <v>300</v>
      </c>
      <c r="D21" s="658"/>
      <c r="E21" s="658"/>
      <c r="F21" s="658"/>
    </row>
    <row r="22" spans="1:6" ht="13.15">
      <c r="A22" s="656" t="s">
        <v>301</v>
      </c>
      <c r="B22" s="383" t="s">
        <v>302</v>
      </c>
      <c r="C22" s="383" t="s">
        <v>303</v>
      </c>
      <c r="D22" s="383"/>
      <c r="E22" s="269"/>
      <c r="F22" s="42"/>
    </row>
    <row r="23" spans="1:6" ht="13.15">
      <c r="A23" s="656" t="s">
        <v>304</v>
      </c>
      <c r="B23" s="383" t="s">
        <v>305</v>
      </c>
      <c r="C23" s="383">
        <v>20</v>
      </c>
      <c r="D23" s="383" t="s">
        <v>157</v>
      </c>
      <c r="E23" s="269"/>
      <c r="F23" s="42"/>
    </row>
  </sheetData>
  <mergeCells count="7">
    <mergeCell ref="D9:D18"/>
    <mergeCell ref="B1:F2"/>
    <mergeCell ref="A7:A8"/>
    <mergeCell ref="B7:B8"/>
    <mergeCell ref="C7:C8"/>
    <mergeCell ref="A9:A18"/>
    <mergeCell ref="B9:B18"/>
  </mergeCells>
  <phoneticPr fontId="5" type="noConversion"/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8" tint="-0.249977111117893"/>
    <pageSetUpPr fitToPage="1"/>
  </sheetPr>
  <dimension ref="A1:I20"/>
  <sheetViews>
    <sheetView showGridLines="0" view="pageBreakPreview" zoomScale="130" zoomScaleNormal="130" zoomScaleSheetLayoutView="130" workbookViewId="0">
      <selection activeCell="I13" sqref="I13"/>
    </sheetView>
  </sheetViews>
  <sheetFormatPr defaultColWidth="9.140625" defaultRowHeight="12.75" customHeight="1"/>
  <cols>
    <col min="1" max="1" width="16.42578125" style="73" customWidth="1"/>
    <col min="2" max="2" width="4.28515625" style="73" bestFit="1" customWidth="1"/>
    <col min="3" max="3" width="4.42578125" style="73" customWidth="1"/>
    <col min="4" max="4" width="11.5703125" style="73" customWidth="1"/>
    <col min="5" max="5" width="11.7109375" style="73" bestFit="1" customWidth="1"/>
    <col min="6" max="6" width="14.5703125" style="73" customWidth="1"/>
    <col min="7" max="7" width="13.140625" style="73" bestFit="1" customWidth="1"/>
    <col min="8" max="8" width="11.7109375" style="73" bestFit="1" customWidth="1"/>
    <col min="9" max="9" width="14.28515625" style="73" bestFit="1" customWidth="1"/>
    <col min="10" max="10" width="9.140625" customWidth="1"/>
  </cols>
  <sheetData>
    <row r="1" spans="1:9" ht="16.899999999999999" customHeight="1">
      <c r="A1" s="750"/>
      <c r="B1" s="745" t="str">
        <f>Capa!A19</f>
        <v xml:space="preserve">ORÇAMENTO PARA ELABORAÇÃO DE PROJETOS DE SISTEMA DE ESGOTAMENTO SANITÁRIO </v>
      </c>
      <c r="C1" s="745"/>
      <c r="D1" s="745"/>
      <c r="E1" s="745"/>
      <c r="F1" s="745"/>
      <c r="G1" s="745"/>
      <c r="H1" s="745"/>
      <c r="I1" s="745"/>
    </row>
    <row r="2" spans="1:9" ht="17.45" customHeight="1">
      <c r="A2" s="750"/>
      <c r="B2" s="745"/>
      <c r="C2" s="745"/>
      <c r="D2" s="745"/>
      <c r="E2" s="745"/>
      <c r="F2" s="745"/>
      <c r="G2" s="745"/>
      <c r="H2" s="745"/>
      <c r="I2" s="745"/>
    </row>
    <row r="3" spans="1:9" ht="10.15" customHeight="1">
      <c r="A3" s="751"/>
      <c r="B3" s="531"/>
      <c r="C3" s="531"/>
      <c r="D3" s="660"/>
      <c r="E3" s="660"/>
      <c r="F3" s="660"/>
      <c r="G3" s="660"/>
      <c r="H3" s="660"/>
      <c r="I3" s="660"/>
    </row>
    <row r="4" spans="1:9" ht="20.100000000000001" customHeight="1">
      <c r="A4" s="261" t="s">
        <v>306</v>
      </c>
      <c r="B4" s="261"/>
      <c r="C4" s="261"/>
      <c r="D4" s="261"/>
      <c r="E4" s="261"/>
      <c r="F4" s="59"/>
      <c r="G4" s="59"/>
      <c r="H4" s="62" t="s">
        <v>143</v>
      </c>
      <c r="I4" s="384">
        <f ca="1">'Dados Básicos do município'!H4</f>
        <v>46170</v>
      </c>
    </row>
    <row r="5" spans="1:9" ht="20.100000000000001" customHeight="1">
      <c r="A5" s="59" t="s">
        <v>144</v>
      </c>
      <c r="B5" s="59"/>
      <c r="C5" s="59"/>
      <c r="D5" s="64" t="str">
        <f>'Dados Básicos do município'!B5</f>
        <v>CBH-PIRANGA</v>
      </c>
      <c r="E5" s="59"/>
      <c r="G5" s="86"/>
      <c r="H5" s="53"/>
      <c r="I5" s="53"/>
    </row>
    <row r="6" spans="1:9" ht="20.100000000000001" customHeight="1">
      <c r="A6" s="59" t="s">
        <v>145</v>
      </c>
      <c r="B6" s="59"/>
      <c r="C6" s="59"/>
      <c r="D6" s="64" t="str">
        <f>'Dados Básicos do município'!B6</f>
        <v>São Miguel do Anta/MG</v>
      </c>
      <c r="E6" s="59"/>
      <c r="G6" s="86"/>
      <c r="H6" s="53"/>
      <c r="I6" s="53"/>
    </row>
    <row r="7" spans="1:9" ht="9.9499999999999993" customHeight="1"/>
    <row r="8" spans="1:9" s="465" customFormat="1" ht="26.25" customHeight="1">
      <c r="A8" s="742" t="s">
        <v>118</v>
      </c>
      <c r="B8" s="742"/>
      <c r="C8" s="742"/>
      <c r="D8" s="742"/>
      <c r="E8" s="742"/>
      <c r="F8" s="742" t="s">
        <v>307</v>
      </c>
      <c r="G8" s="742"/>
      <c r="H8" s="399" t="s">
        <v>308</v>
      </c>
      <c r="I8" s="399" t="s">
        <v>309</v>
      </c>
    </row>
    <row r="9" spans="1:9" ht="30.6" customHeight="1">
      <c r="A9" s="753"/>
      <c r="B9" s="753"/>
      <c r="C9" s="753"/>
      <c r="D9" s="753"/>
      <c r="E9" s="753"/>
      <c r="F9" s="400" t="s">
        <v>310</v>
      </c>
      <c r="G9" s="400" t="s">
        <v>311</v>
      </c>
      <c r="H9" s="400" t="s">
        <v>312</v>
      </c>
      <c r="I9" s="400" t="s">
        <v>312</v>
      </c>
    </row>
    <row r="10" spans="1:9" ht="20.100000000000001" customHeight="1">
      <c r="A10" s="720" t="s">
        <v>313</v>
      </c>
      <c r="B10" s="720"/>
      <c r="C10" s="720"/>
      <c r="D10" s="720"/>
      <c r="E10" s="720"/>
      <c r="F10" s="418">
        <f>IF('Dados Básicos do município'!C15&lt;=1,B16,C16)</f>
        <v>0.6</v>
      </c>
      <c r="G10" s="540">
        <f>IF('Dados Básicos do município'!C15&lt;=1,SUM(C17:C20),SUM(B17:B20))</f>
        <v>32</v>
      </c>
      <c r="H10" s="550">
        <f>ROUNDUP(('Dados Básicos do município'!C15/F10)/20,2)</f>
        <v>0.12</v>
      </c>
      <c r="I10" s="550">
        <f>ROUNDUP((G10/'Dias trabalhados'!C49)*'Dados Básicos do município'!C15,2)</f>
        <v>0.29000000000000004</v>
      </c>
    </row>
    <row r="11" spans="1:9" ht="14.45">
      <c r="A11" s="752"/>
      <c r="B11" s="752"/>
      <c r="C11" s="752"/>
      <c r="D11" s="752"/>
      <c r="E11" s="752"/>
      <c r="F11" s="743" t="s">
        <v>314</v>
      </c>
      <c r="G11" s="192"/>
      <c r="H11" s="534" t="s">
        <v>315</v>
      </c>
      <c r="I11" s="550">
        <f>H10</f>
        <v>0.12</v>
      </c>
    </row>
    <row r="12" spans="1:9" ht="14.45">
      <c r="A12" s="752"/>
      <c r="B12" s="752"/>
      <c r="C12" s="752"/>
      <c r="D12" s="752"/>
      <c r="E12" s="752"/>
      <c r="F12" s="744"/>
      <c r="G12" s="192"/>
      <c r="H12" s="534" t="s">
        <v>316</v>
      </c>
      <c r="I12" s="550">
        <f>I10</f>
        <v>0.29000000000000004</v>
      </c>
    </row>
    <row r="13" spans="1:9" ht="14.45">
      <c r="A13" s="419"/>
      <c r="B13" s="419"/>
      <c r="C13" s="419"/>
      <c r="D13" s="419"/>
      <c r="E13" s="419"/>
      <c r="F13" s="419" t="s">
        <v>317</v>
      </c>
      <c r="G13" s="192"/>
      <c r="H13" s="534"/>
      <c r="I13" s="556">
        <f>SUM(I11:I12)</f>
        <v>0.41000000000000003</v>
      </c>
    </row>
    <row r="14" spans="1:9" ht="11.45" customHeight="1">
      <c r="A14" s="419"/>
      <c r="B14" s="419"/>
      <c r="C14" s="419"/>
      <c r="D14" s="419"/>
      <c r="E14" s="419"/>
      <c r="F14" s="419"/>
      <c r="G14" s="419"/>
      <c r="H14" s="419"/>
      <c r="I14" s="419"/>
    </row>
    <row r="15" spans="1:9" ht="10.9" customHeight="1">
      <c r="A15" s="746" t="s">
        <v>318</v>
      </c>
      <c r="B15" s="746"/>
      <c r="C15" s="746"/>
      <c r="D15" s="746"/>
      <c r="E15" s="746"/>
      <c r="F15" s="536"/>
      <c r="G15" s="536"/>
      <c r="H15" s="536"/>
      <c r="I15" s="536"/>
    </row>
    <row r="16" spans="1:9" ht="14.45">
      <c r="A16" s="535" t="s">
        <v>319</v>
      </c>
      <c r="B16" s="539">
        <v>0.2</v>
      </c>
      <c r="C16" s="539">
        <v>0.6</v>
      </c>
      <c r="D16" s="536"/>
      <c r="E16" s="536"/>
      <c r="F16" s="536"/>
      <c r="G16" s="536"/>
      <c r="H16" s="536"/>
      <c r="I16" s="536"/>
    </row>
    <row r="17" spans="1:9" ht="14.45">
      <c r="A17" s="747" t="s">
        <v>320</v>
      </c>
      <c r="B17" s="535">
        <v>8</v>
      </c>
      <c r="C17" s="535">
        <v>10</v>
      </c>
      <c r="D17" s="535" t="s">
        <v>321</v>
      </c>
      <c r="E17" s="536"/>
      <c r="F17" s="536"/>
      <c r="G17" s="536"/>
      <c r="H17" s="536"/>
      <c r="I17" s="536"/>
    </row>
    <row r="18" spans="1:9" ht="14.45">
      <c r="A18" s="748"/>
      <c r="B18" s="535">
        <v>8</v>
      </c>
      <c r="C18" s="535">
        <v>10</v>
      </c>
      <c r="D18" s="535" t="s">
        <v>322</v>
      </c>
      <c r="E18" s="536"/>
      <c r="F18" s="536"/>
      <c r="G18" s="536"/>
      <c r="H18" s="536"/>
      <c r="I18" s="536"/>
    </row>
    <row r="19" spans="1:9" ht="14.45">
      <c r="A19" s="748"/>
      <c r="B19" s="535">
        <v>8</v>
      </c>
      <c r="C19" s="535">
        <v>10</v>
      </c>
      <c r="D19" s="535" t="s">
        <v>323</v>
      </c>
      <c r="E19" s="536"/>
      <c r="F19" s="536"/>
      <c r="G19" s="536"/>
      <c r="H19" s="536"/>
      <c r="I19" s="536"/>
    </row>
    <row r="20" spans="1:9" ht="14.45">
      <c r="A20" s="749"/>
      <c r="B20" s="535">
        <v>8</v>
      </c>
      <c r="C20" s="535">
        <v>5</v>
      </c>
      <c r="D20" s="535" t="s">
        <v>324</v>
      </c>
      <c r="E20" s="536"/>
      <c r="F20" s="536"/>
      <c r="G20" s="536"/>
      <c r="H20" s="536"/>
      <c r="I20" s="536"/>
    </row>
  </sheetData>
  <mergeCells count="11">
    <mergeCell ref="F8:G8"/>
    <mergeCell ref="F11:F12"/>
    <mergeCell ref="B1:I2"/>
    <mergeCell ref="A15:E15"/>
    <mergeCell ref="A17:A20"/>
    <mergeCell ref="A1:A3"/>
    <mergeCell ref="A10:E10"/>
    <mergeCell ref="A8:E8"/>
    <mergeCell ref="A12:E12"/>
    <mergeCell ref="A11:E11"/>
    <mergeCell ref="A9:E9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0B7B5-ABBE-4E81-8446-A6F1AF93DEB0}">
  <sheetPr>
    <tabColor theme="8" tint="-0.249977111117893"/>
    <pageSetUpPr fitToPage="1"/>
  </sheetPr>
  <dimension ref="A1:I22"/>
  <sheetViews>
    <sheetView showGridLines="0" view="pageBreakPreview" zoomScale="130" zoomScaleNormal="130" zoomScaleSheetLayoutView="130" workbookViewId="0">
      <selection activeCell="F11" sqref="F11"/>
    </sheetView>
  </sheetViews>
  <sheetFormatPr defaultColWidth="9.140625" defaultRowHeight="12.75" customHeight="1"/>
  <cols>
    <col min="1" max="1" width="16" style="73" customWidth="1"/>
    <col min="2" max="2" width="11.7109375" style="73" bestFit="1" customWidth="1"/>
    <col min="3" max="3" width="4.42578125" style="73" customWidth="1"/>
    <col min="4" max="4" width="6.140625" style="73" customWidth="1"/>
    <col min="5" max="5" width="11.7109375" style="73" bestFit="1" customWidth="1"/>
    <col min="6" max="6" width="14.5703125" style="73" customWidth="1"/>
    <col min="7" max="7" width="13.140625" style="73" bestFit="1" customWidth="1"/>
    <col min="8" max="8" width="11.7109375" style="73" bestFit="1" customWidth="1"/>
    <col min="9" max="9" width="14.28515625" style="73" bestFit="1" customWidth="1"/>
    <col min="10" max="10" width="9.140625" customWidth="1"/>
  </cols>
  <sheetData>
    <row r="1" spans="1:9" ht="16.899999999999999" customHeight="1">
      <c r="A1" s="750"/>
      <c r="B1" s="754" t="str">
        <f>Capa!A19</f>
        <v xml:space="preserve">ORÇAMENTO PARA ELABORAÇÃO DE PROJETOS DE SISTEMA DE ESGOTAMENTO SANITÁRIO </v>
      </c>
      <c r="C1" s="754"/>
      <c r="D1" s="754"/>
      <c r="E1" s="754"/>
      <c r="F1" s="754"/>
      <c r="G1" s="754"/>
      <c r="H1" s="754"/>
      <c r="I1" s="754"/>
    </row>
    <row r="2" spans="1:9" ht="19.899999999999999" customHeight="1">
      <c r="A2" s="750"/>
      <c r="B2" s="754"/>
      <c r="C2" s="754"/>
      <c r="D2" s="754"/>
      <c r="E2" s="754"/>
      <c r="F2" s="754"/>
      <c r="G2" s="754"/>
      <c r="H2" s="754"/>
      <c r="I2" s="754"/>
    </row>
    <row r="3" spans="1:9" ht="10.9" customHeight="1">
      <c r="A3" s="751"/>
      <c r="B3" s="661"/>
      <c r="C3" s="661"/>
      <c r="D3" s="661"/>
      <c r="E3" s="661"/>
      <c r="F3" s="661"/>
      <c r="G3" s="661"/>
      <c r="H3" s="661"/>
      <c r="I3" s="661"/>
    </row>
    <row r="4" spans="1:9" ht="20.100000000000001" customHeight="1">
      <c r="A4" s="261" t="s">
        <v>325</v>
      </c>
      <c r="B4" s="261"/>
      <c r="C4" s="261"/>
      <c r="D4" s="261"/>
      <c r="E4" s="261"/>
      <c r="F4" s="59"/>
      <c r="G4" s="59"/>
      <c r="H4" s="62" t="s">
        <v>143</v>
      </c>
      <c r="I4" s="384">
        <f ca="1">'Dados Básicos do município'!H4</f>
        <v>46170</v>
      </c>
    </row>
    <row r="5" spans="1:9" ht="20.100000000000001" customHeight="1">
      <c r="A5" s="59" t="s">
        <v>144</v>
      </c>
      <c r="B5" s="59"/>
      <c r="C5" s="59"/>
      <c r="D5" s="64" t="str">
        <f>'Dados Básicos do município'!B5</f>
        <v>CBH-PIRANGA</v>
      </c>
      <c r="E5" s="59"/>
      <c r="G5" s="86"/>
      <c r="H5" s="53"/>
      <c r="I5" s="53"/>
    </row>
    <row r="6" spans="1:9" ht="20.100000000000001" customHeight="1">
      <c r="A6" s="59" t="s">
        <v>145</v>
      </c>
      <c r="B6" s="59"/>
      <c r="C6" s="59"/>
      <c r="D6" s="64" t="str">
        <f>'Dados Básicos do município'!B6</f>
        <v>São Miguel do Anta/MG</v>
      </c>
      <c r="E6" s="59"/>
      <c r="G6" s="86"/>
      <c r="H6" s="53"/>
      <c r="I6" s="53"/>
    </row>
    <row r="7" spans="1:9" ht="9.9499999999999993" customHeight="1"/>
    <row r="8" spans="1:9" s="465" customFormat="1" ht="26.25" customHeight="1">
      <c r="A8" s="742" t="s">
        <v>118</v>
      </c>
      <c r="B8" s="742"/>
      <c r="C8" s="742"/>
      <c r="D8" s="742"/>
      <c r="E8" s="742"/>
      <c r="F8" s="742" t="s">
        <v>307</v>
      </c>
      <c r="G8" s="742"/>
      <c r="H8" s="399" t="s">
        <v>308</v>
      </c>
      <c r="I8" s="399" t="s">
        <v>309</v>
      </c>
    </row>
    <row r="9" spans="1:9" ht="30.6" customHeight="1">
      <c r="A9" s="753"/>
      <c r="B9" s="753"/>
      <c r="C9" s="753"/>
      <c r="D9" s="753"/>
      <c r="E9" s="753"/>
      <c r="F9" s="400" t="s">
        <v>326</v>
      </c>
      <c r="G9" s="400" t="s">
        <v>327</v>
      </c>
      <c r="H9" s="400" t="s">
        <v>312</v>
      </c>
      <c r="I9" s="400" t="s">
        <v>312</v>
      </c>
    </row>
    <row r="10" spans="1:9" ht="20.100000000000001" customHeight="1">
      <c r="A10" s="720" t="s">
        <v>328</v>
      </c>
      <c r="B10" s="720"/>
      <c r="C10" s="720"/>
      <c r="D10" s="720"/>
      <c r="E10" s="720"/>
      <c r="F10" s="542">
        <f>IF('Dados Básicos do município'!$C$15&lt;1.5,C17,D17)</f>
        <v>20</v>
      </c>
      <c r="G10" s="542">
        <f>IF('Dados Básicos do município'!$C$15&lt;=1.5,C20,D20)</f>
        <v>0.2</v>
      </c>
      <c r="H10" s="533">
        <f>ROUNDUP(('Dados Básicos do município'!C23/F10)/20,2)</f>
        <v>0.43</v>
      </c>
      <c r="I10" s="533">
        <f>ROUNDUP((G10*'Dados Básicos do município'!C23)/'Dias trabalhados'!$C$49,2)</f>
        <v>0.23</v>
      </c>
    </row>
    <row r="11" spans="1:9" ht="15">
      <c r="A11" s="752" t="s">
        <v>329</v>
      </c>
      <c r="B11" s="752"/>
      <c r="C11" s="752"/>
      <c r="D11" s="752"/>
      <c r="E11" s="752"/>
      <c r="F11" s="542">
        <f>IF('Dados Básicos do município'!$C$15&lt;1.5,C18,D18)</f>
        <v>2</v>
      </c>
      <c r="G11" s="542">
        <f>IF('Dados Básicos do município'!$C$15&lt;=1.5,C21,D21)</f>
        <v>1</v>
      </c>
      <c r="H11" s="533">
        <f>ROUNDUP(('Dados Básicos do município'!C24/F11)/20,2)</f>
        <v>0.17</v>
      </c>
      <c r="I11" s="533">
        <f>ROUNDUP((G11*'Dados Básicos do município'!C24)/'Dias trabalhados'!$C$49,2)</f>
        <v>0.05</v>
      </c>
    </row>
    <row r="12" spans="1:9" ht="15.75">
      <c r="A12" s="532"/>
      <c r="B12" s="532"/>
      <c r="C12" s="532"/>
      <c r="D12" s="532"/>
      <c r="E12" s="532"/>
      <c r="G12" s="755" t="s">
        <v>314</v>
      </c>
      <c r="H12" s="534" t="s">
        <v>315</v>
      </c>
      <c r="I12" s="533">
        <f>ROUND(SUM(H10:H11),2)</f>
        <v>0.6</v>
      </c>
    </row>
    <row r="13" spans="1:9" ht="15.6">
      <c r="F13" s="532"/>
      <c r="G13" s="756"/>
      <c r="H13" s="534" t="s">
        <v>316</v>
      </c>
      <c r="I13" s="533">
        <f>ROUND(SUM(I10:I11),2)</f>
        <v>0.28000000000000003</v>
      </c>
    </row>
    <row r="14" spans="1:9" ht="15.6">
      <c r="A14" s="419"/>
      <c r="B14" s="419"/>
      <c r="C14" s="419"/>
      <c r="D14" s="419"/>
      <c r="E14" s="419"/>
      <c r="G14" s="419" t="s">
        <v>317</v>
      </c>
      <c r="H14" s="534"/>
      <c r="I14" s="556">
        <f>SUM(I12:I13)</f>
        <v>0.88</v>
      </c>
    </row>
    <row r="15" spans="1:9" ht="11.45" customHeight="1">
      <c r="A15" s="419"/>
      <c r="B15" s="419"/>
      <c r="C15" s="419"/>
      <c r="D15" s="419"/>
      <c r="E15" s="419"/>
      <c r="F15" s="419"/>
      <c r="G15" s="419"/>
      <c r="H15" s="419"/>
      <c r="I15" s="419"/>
    </row>
    <row r="16" spans="1:9" ht="10.9" customHeight="1">
      <c r="A16" s="746" t="s">
        <v>318</v>
      </c>
      <c r="B16" s="746"/>
      <c r="C16" s="746"/>
      <c r="D16" s="746"/>
      <c r="E16" s="746"/>
      <c r="F16" s="536"/>
      <c r="G16" s="536"/>
      <c r="H16" s="536"/>
      <c r="I16" s="536"/>
    </row>
    <row r="17" spans="1:9" ht="14.45">
      <c r="A17" s="747" t="s">
        <v>315</v>
      </c>
      <c r="B17" s="537" t="s">
        <v>330</v>
      </c>
      <c r="C17" s="538">
        <v>20</v>
      </c>
      <c r="D17" s="539">
        <v>25</v>
      </c>
      <c r="E17" s="537" t="s">
        <v>331</v>
      </c>
      <c r="F17" s="536"/>
      <c r="G17" s="536"/>
      <c r="H17" s="536"/>
      <c r="I17" s="536"/>
    </row>
    <row r="18" spans="1:9" ht="14.45">
      <c r="A18" s="748"/>
      <c r="B18" s="541" t="s">
        <v>332</v>
      </c>
      <c r="C18" s="538">
        <v>2</v>
      </c>
      <c r="D18" s="539">
        <v>4</v>
      </c>
      <c r="E18" s="537" t="s">
        <v>333</v>
      </c>
      <c r="F18" s="536"/>
      <c r="G18" s="536"/>
      <c r="H18" s="536"/>
      <c r="I18" s="536"/>
    </row>
    <row r="19" spans="1:9" ht="14.45">
      <c r="A19" s="748"/>
      <c r="B19" s="541" t="s">
        <v>334</v>
      </c>
      <c r="C19" s="538">
        <v>50</v>
      </c>
      <c r="D19" s="539">
        <v>80</v>
      </c>
      <c r="E19" s="537" t="s">
        <v>335</v>
      </c>
      <c r="F19" s="536"/>
      <c r="G19" s="536"/>
      <c r="H19" s="536"/>
      <c r="I19" s="536"/>
    </row>
    <row r="20" spans="1:9" ht="14.45">
      <c r="A20" s="748" t="s">
        <v>316</v>
      </c>
      <c r="B20" s="537" t="s">
        <v>330</v>
      </c>
      <c r="C20" s="539">
        <v>0.2</v>
      </c>
      <c r="D20" s="539">
        <v>0.3</v>
      </c>
      <c r="E20" s="537" t="s">
        <v>336</v>
      </c>
      <c r="F20" s="536"/>
      <c r="G20" s="536"/>
      <c r="H20" s="536"/>
      <c r="I20" s="536"/>
    </row>
    <row r="21" spans="1:9" ht="14.45">
      <c r="A21" s="748"/>
      <c r="B21" s="541" t="s">
        <v>332</v>
      </c>
      <c r="C21" s="539">
        <v>1</v>
      </c>
      <c r="D21" s="539">
        <v>1.5</v>
      </c>
      <c r="E21" s="537" t="s">
        <v>337</v>
      </c>
      <c r="F21" s="536"/>
      <c r="G21" s="536"/>
      <c r="H21" s="536"/>
      <c r="I21" s="536"/>
    </row>
    <row r="22" spans="1:9" ht="14.45">
      <c r="A22" s="748"/>
      <c r="B22" s="541" t="s">
        <v>334</v>
      </c>
      <c r="C22" s="539">
        <v>0.2</v>
      </c>
      <c r="D22" s="539">
        <v>0.3</v>
      </c>
      <c r="E22" s="537" t="s">
        <v>338</v>
      </c>
      <c r="F22" s="536"/>
      <c r="G22" s="536"/>
      <c r="H22" s="536"/>
      <c r="I22" s="536"/>
    </row>
  </sheetData>
  <mergeCells count="11">
    <mergeCell ref="A17:A19"/>
    <mergeCell ref="A20:A22"/>
    <mergeCell ref="G12:G13"/>
    <mergeCell ref="A11:E11"/>
    <mergeCell ref="A16:E16"/>
    <mergeCell ref="A10:E10"/>
    <mergeCell ref="A1:A3"/>
    <mergeCell ref="A8:E8"/>
    <mergeCell ref="F8:G8"/>
    <mergeCell ref="A9:E9"/>
    <mergeCell ref="B1:I2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8" tint="-0.249977111117893"/>
    <pageSetUpPr fitToPage="1"/>
  </sheetPr>
  <dimension ref="A1:O116"/>
  <sheetViews>
    <sheetView showGridLines="0" tabSelected="1" view="pageBreakPreview" topLeftCell="A4" zoomScale="90" zoomScaleSheetLayoutView="90" workbookViewId="0">
      <selection activeCell="J14" sqref="J14"/>
    </sheetView>
  </sheetViews>
  <sheetFormatPr defaultColWidth="9.140625" defaultRowHeight="13.15" zeroHeight="1"/>
  <cols>
    <col min="1" max="1" width="18.28515625" style="282" customWidth="1"/>
    <col min="2" max="2" width="6.42578125" style="282" customWidth="1"/>
    <col min="3" max="3" width="59.140625" style="282" customWidth="1"/>
    <col min="4" max="4" width="15.42578125" style="338" customWidth="1"/>
    <col min="5" max="5" width="10.5703125" style="338" customWidth="1"/>
    <col min="6" max="6" width="12.85546875" style="338" bestFit="1" customWidth="1"/>
    <col min="7" max="7" width="11.42578125" style="286" bestFit="1" customWidth="1"/>
    <col min="8" max="8" width="10.42578125" style="286" bestFit="1" customWidth="1"/>
    <col min="9" max="9" width="14" style="286" customWidth="1"/>
    <col min="10" max="10" width="14" style="340" customWidth="1"/>
    <col min="11" max="11" width="2.7109375" style="282" customWidth="1"/>
    <col min="12" max="12" width="13.42578125" style="282" bestFit="1" customWidth="1"/>
    <col min="13" max="13" width="17.140625" style="282" bestFit="1" customWidth="1"/>
    <col min="14" max="14" width="13.42578125" style="282" bestFit="1" customWidth="1"/>
    <col min="15" max="15" width="14.5703125" style="282" bestFit="1" customWidth="1"/>
    <col min="16" max="16384" width="9.140625" style="282"/>
  </cols>
  <sheetData>
    <row r="1" spans="1:15" ht="19.899999999999999" customHeight="1">
      <c r="A1" s="662"/>
      <c r="B1" s="679" t="str">
        <f>Capa!A19</f>
        <v xml:space="preserve">ORÇAMENTO PARA ELABORAÇÃO DE PROJETOS DE SISTEMA DE ESGOTAMENTO SANITÁRIO </v>
      </c>
      <c r="C1" s="679"/>
      <c r="D1" s="679"/>
      <c r="E1" s="679"/>
      <c r="F1" s="679"/>
      <c r="G1" s="679"/>
      <c r="H1" s="679"/>
      <c r="I1" s="679"/>
      <c r="J1" s="679"/>
    </row>
    <row r="2" spans="1:15" ht="19.899999999999999" customHeight="1">
      <c r="A2" s="662"/>
      <c r="B2" s="679"/>
      <c r="C2" s="679"/>
      <c r="D2" s="679"/>
      <c r="E2" s="679"/>
      <c r="F2" s="679"/>
      <c r="G2" s="679"/>
      <c r="H2" s="679"/>
      <c r="I2" s="679"/>
      <c r="J2" s="679"/>
    </row>
    <row r="3" spans="1:15" ht="19.899999999999999" customHeight="1">
      <c r="A3" s="284" t="s">
        <v>339</v>
      </c>
      <c r="B3" s="284"/>
      <c r="C3" s="285"/>
      <c r="D3" s="282"/>
      <c r="E3" s="285"/>
      <c r="F3" s="285"/>
      <c r="G3" s="285"/>
      <c r="I3" s="287" t="s">
        <v>143</v>
      </c>
      <c r="J3" s="288">
        <f ca="1">'Dados Básicos do município'!H4</f>
        <v>46170</v>
      </c>
    </row>
    <row r="4" spans="1:15" ht="19.899999999999999" customHeight="1">
      <c r="A4" s="284" t="s">
        <v>144</v>
      </c>
      <c r="B4" s="284"/>
      <c r="C4" s="289" t="str">
        <f>'Dados Básicos do município'!B5</f>
        <v>CBH-PIRANGA</v>
      </c>
      <c r="D4" s="282"/>
      <c r="E4" s="285"/>
      <c r="F4" s="285"/>
      <c r="G4" s="285"/>
      <c r="H4" s="285"/>
      <c r="I4" s="285"/>
      <c r="J4" s="285"/>
    </row>
    <row r="5" spans="1:15" ht="19.899999999999999" customHeight="1">
      <c r="A5" s="284" t="s">
        <v>145</v>
      </c>
      <c r="B5" s="284"/>
      <c r="C5" s="289" t="str">
        <f>'Dados Básicos do município'!B6</f>
        <v>São Miguel do Anta/MG</v>
      </c>
      <c r="D5" s="282"/>
      <c r="E5" s="285"/>
      <c r="F5" s="285"/>
      <c r="H5" s="285"/>
      <c r="I5" s="285"/>
      <c r="J5" s="285"/>
    </row>
    <row r="6" spans="1:15" ht="9" customHeight="1">
      <c r="A6" s="283"/>
      <c r="B6" s="283"/>
      <c r="C6" s="283"/>
      <c r="D6" s="290"/>
      <c r="E6" s="290"/>
      <c r="F6" s="290"/>
      <c r="G6" s="283"/>
      <c r="H6" s="282"/>
      <c r="I6" s="282"/>
      <c r="J6" s="282"/>
    </row>
    <row r="7" spans="1:15" ht="19.899999999999999" customHeight="1">
      <c r="A7" s="677" t="s">
        <v>17</v>
      </c>
      <c r="B7" s="677" t="s">
        <v>191</v>
      </c>
      <c r="C7" s="677"/>
      <c r="D7" s="677" t="s">
        <v>149</v>
      </c>
      <c r="E7" s="677" t="s">
        <v>340</v>
      </c>
      <c r="F7" s="422" t="s">
        <v>341</v>
      </c>
      <c r="G7" s="678" t="s">
        <v>342</v>
      </c>
      <c r="H7" s="678" t="s">
        <v>148</v>
      </c>
      <c r="I7" s="677" t="s">
        <v>343</v>
      </c>
      <c r="J7" s="677"/>
    </row>
    <row r="8" spans="1:15" ht="19.899999999999999" customHeight="1">
      <c r="A8" s="677"/>
      <c r="B8" s="677"/>
      <c r="C8" s="677"/>
      <c r="D8" s="677"/>
      <c r="E8" s="677"/>
      <c r="F8" s="291" t="s">
        <v>344</v>
      </c>
      <c r="G8" s="678"/>
      <c r="H8" s="678"/>
      <c r="I8" s="291" t="s">
        <v>345</v>
      </c>
      <c r="J8" s="291" t="s">
        <v>346</v>
      </c>
    </row>
    <row r="9" spans="1:15" ht="7.5" customHeight="1" thickBot="1">
      <c r="A9" s="283"/>
      <c r="B9" s="283"/>
      <c r="C9" s="283"/>
      <c r="D9" s="283"/>
      <c r="E9" s="283"/>
      <c r="F9" s="283"/>
      <c r="G9" s="292"/>
      <c r="H9" s="292"/>
      <c r="I9" s="292"/>
      <c r="J9" s="283"/>
    </row>
    <row r="10" spans="1:15" ht="19.5" customHeight="1">
      <c r="A10" s="293">
        <v>1</v>
      </c>
      <c r="B10" s="294" t="s">
        <v>347</v>
      </c>
      <c r="C10" s="294"/>
      <c r="D10" s="295"/>
      <c r="E10" s="295"/>
      <c r="F10" s="295"/>
      <c r="G10" s="295"/>
      <c r="H10" s="295"/>
      <c r="I10" s="295"/>
      <c r="J10" s="295"/>
      <c r="L10" s="682" t="s">
        <v>348</v>
      </c>
      <c r="M10" s="683"/>
      <c r="N10" s="684"/>
      <c r="O10" s="564"/>
    </row>
    <row r="11" spans="1:15" ht="6.6" customHeight="1">
      <c r="A11" s="281"/>
      <c r="B11" s="281"/>
      <c r="C11" s="296"/>
      <c r="D11" s="297"/>
      <c r="E11" s="297"/>
      <c r="F11" s="297"/>
      <c r="G11" s="298"/>
      <c r="H11" s="298"/>
      <c r="I11" s="298"/>
      <c r="J11" s="297"/>
      <c r="L11" s="574"/>
      <c r="M11" s="575"/>
      <c r="N11" s="565"/>
      <c r="O11" s="564"/>
    </row>
    <row r="12" spans="1:15" ht="19.5" customHeight="1">
      <c r="A12" s="299" t="s">
        <v>38</v>
      </c>
      <c r="B12" s="300" t="s">
        <v>349</v>
      </c>
      <c r="C12" s="300"/>
      <c r="D12" s="300"/>
      <c r="E12" s="301"/>
      <c r="F12" s="301"/>
      <c r="G12" s="299"/>
      <c r="H12" s="300"/>
      <c r="I12" s="300"/>
      <c r="J12" s="302"/>
      <c r="L12" s="566">
        <v>46023</v>
      </c>
      <c r="M12" s="675" t="s">
        <v>350</v>
      </c>
      <c r="N12" s="676"/>
      <c r="O12" s="449"/>
    </row>
    <row r="13" spans="1:15" ht="19.5" customHeight="1">
      <c r="A13" s="303" t="s">
        <v>351</v>
      </c>
      <c r="B13" s="304" t="s">
        <v>352</v>
      </c>
      <c r="C13" s="304"/>
      <c r="D13" s="305" t="s">
        <v>353</v>
      </c>
      <c r="E13" s="306" t="s">
        <v>354</v>
      </c>
      <c r="F13" s="614">
        <f>'Dias trabalhados'!$C$49</f>
        <v>150.22</v>
      </c>
      <c r="G13" s="454" t="s">
        <v>355</v>
      </c>
      <c r="H13" s="307" t="s">
        <v>356</v>
      </c>
      <c r="I13" s="308">
        <f>M13</f>
        <v>19824.009999999998</v>
      </c>
      <c r="J13" s="308">
        <f>ROUND(I13/F13,2)</f>
        <v>131.97</v>
      </c>
      <c r="L13" s="567">
        <v>19804.310000000001</v>
      </c>
      <c r="M13" s="568">
        <f>ROUND(L13*(Reajuste!$O$12/Reajuste!$O$11),2)</f>
        <v>19824.009999999998</v>
      </c>
      <c r="N13" s="673" t="s">
        <v>357</v>
      </c>
      <c r="O13" s="449"/>
    </row>
    <row r="14" spans="1:15" ht="19.5" customHeight="1">
      <c r="A14" s="303" t="s">
        <v>358</v>
      </c>
      <c r="B14" s="309" t="s">
        <v>359</v>
      </c>
      <c r="C14" s="309"/>
      <c r="D14" s="305" t="s">
        <v>353</v>
      </c>
      <c r="E14" s="310" t="s">
        <v>360</v>
      </c>
      <c r="F14" s="614">
        <f>'Dias trabalhados'!$C$49</f>
        <v>150.22</v>
      </c>
      <c r="G14" s="454" t="s">
        <v>355</v>
      </c>
      <c r="H14" s="311" t="s">
        <v>356</v>
      </c>
      <c r="I14" s="308">
        <f t="shared" ref="I14:I15" si="0">M14</f>
        <v>14873.85</v>
      </c>
      <c r="J14" s="308">
        <f t="shared" ref="J14:J15" si="1">ROUND(I14/F14,2)</f>
        <v>99.01</v>
      </c>
      <c r="L14" s="567">
        <v>14859.07</v>
      </c>
      <c r="M14" s="568">
        <f>ROUND(L14*(Reajuste!$O$12/Reajuste!$O$11),2)</f>
        <v>14873.85</v>
      </c>
      <c r="N14" s="673"/>
      <c r="O14" s="449"/>
    </row>
    <row r="15" spans="1:15" ht="19.5" customHeight="1">
      <c r="A15" s="303" t="s">
        <v>361</v>
      </c>
      <c r="B15" s="309" t="s">
        <v>362</v>
      </c>
      <c r="C15" s="309"/>
      <c r="D15" s="312" t="s">
        <v>353</v>
      </c>
      <c r="E15" s="310" t="s">
        <v>363</v>
      </c>
      <c r="F15" s="614">
        <f>'Dias trabalhados'!$C$49</f>
        <v>150.22</v>
      </c>
      <c r="G15" s="454" t="s">
        <v>355</v>
      </c>
      <c r="H15" s="311" t="s">
        <v>356</v>
      </c>
      <c r="I15" s="308">
        <f t="shared" si="0"/>
        <v>2037.16</v>
      </c>
      <c r="J15" s="308">
        <f t="shared" si="1"/>
        <v>13.56</v>
      </c>
      <c r="L15" s="567">
        <v>2035.14</v>
      </c>
      <c r="M15" s="568">
        <f>ROUND(L15*(Reajuste!$O$12/Reajuste!$O$11),2)</f>
        <v>2037.16</v>
      </c>
      <c r="N15" s="673"/>
      <c r="O15" s="449"/>
    </row>
    <row r="16" spans="1:15" ht="5.45" customHeight="1">
      <c r="A16" s="281"/>
      <c r="B16" s="281"/>
      <c r="C16" s="296"/>
      <c r="D16" s="314"/>
      <c r="E16" s="314"/>
      <c r="F16" s="314"/>
      <c r="G16" s="298"/>
      <c r="H16" s="298"/>
      <c r="I16" s="298"/>
      <c r="J16" s="315"/>
      <c r="L16" s="569"/>
      <c r="M16" s="570"/>
      <c r="N16" s="571"/>
      <c r="O16" s="449"/>
    </row>
    <row r="17" spans="1:15" ht="20.45" customHeight="1">
      <c r="A17" s="293">
        <v>2</v>
      </c>
      <c r="B17" s="294" t="s">
        <v>364</v>
      </c>
      <c r="C17" s="294"/>
      <c r="D17" s="295"/>
      <c r="E17" s="295"/>
      <c r="F17" s="295"/>
      <c r="G17" s="295"/>
      <c r="H17" s="295"/>
      <c r="I17" s="295"/>
      <c r="J17" s="295"/>
      <c r="L17" s="569"/>
      <c r="M17" s="570"/>
      <c r="N17" s="571"/>
      <c r="O17" s="449"/>
    </row>
    <row r="18" spans="1:15" ht="6.6" customHeight="1">
      <c r="A18" s="281"/>
      <c r="B18" s="281"/>
      <c r="C18" s="296"/>
      <c r="D18" s="297"/>
      <c r="E18" s="297"/>
      <c r="F18" s="297"/>
      <c r="G18" s="298"/>
      <c r="H18" s="298"/>
      <c r="I18" s="298"/>
      <c r="J18" s="297"/>
      <c r="L18" s="569"/>
      <c r="M18" s="570"/>
      <c r="N18" s="571"/>
      <c r="O18" s="449"/>
    </row>
    <row r="19" spans="1:15" ht="19.149999999999999" customHeight="1">
      <c r="A19" s="316" t="s">
        <v>56</v>
      </c>
      <c r="B19" s="317" t="s">
        <v>365</v>
      </c>
      <c r="C19" s="317"/>
      <c r="D19" s="317"/>
      <c r="E19" s="318"/>
      <c r="F19" s="318"/>
      <c r="G19" s="316"/>
      <c r="H19" s="317"/>
      <c r="I19" s="318"/>
      <c r="J19" s="319"/>
      <c r="K19" s="563"/>
      <c r="L19" s="566">
        <v>45992</v>
      </c>
      <c r="M19" s="675" t="s">
        <v>350</v>
      </c>
      <c r="N19" s="676"/>
      <c r="O19" s="449"/>
    </row>
    <row r="20" spans="1:15" ht="19.149999999999999" customHeight="1">
      <c r="A20" s="303" t="s">
        <v>351</v>
      </c>
      <c r="B20" s="320" t="s">
        <v>366</v>
      </c>
      <c r="C20" s="321"/>
      <c r="D20" s="305" t="s">
        <v>353</v>
      </c>
      <c r="E20" s="310" t="s">
        <v>367</v>
      </c>
      <c r="F20" s="614">
        <f>'Dias trabalhados'!$C$49</f>
        <v>150.22</v>
      </c>
      <c r="G20" s="454" t="s">
        <v>355</v>
      </c>
      <c r="H20" s="311" t="s">
        <v>356</v>
      </c>
      <c r="I20" s="308">
        <f t="shared" ref="I20:I22" si="2">M20</f>
        <v>17291.77</v>
      </c>
      <c r="J20" s="308">
        <f t="shared" ref="J20:J22" si="3">ROUND(I20/F20,2)</f>
        <v>115.11</v>
      </c>
      <c r="L20" s="567">
        <v>17274.580000000002</v>
      </c>
      <c r="M20" s="568">
        <f>ROUND(L20*(Reajuste!$O$12/Reajuste!$O$11),2)</f>
        <v>17291.77</v>
      </c>
      <c r="N20" s="673" t="s">
        <v>357</v>
      </c>
      <c r="O20" s="449"/>
    </row>
    <row r="21" spans="1:15" ht="19.149999999999999" customHeight="1">
      <c r="A21" s="303" t="s">
        <v>358</v>
      </c>
      <c r="B21" s="320" t="s">
        <v>368</v>
      </c>
      <c r="C21" s="321"/>
      <c r="D21" s="312" t="s">
        <v>353</v>
      </c>
      <c r="E21" s="310" t="s">
        <v>367</v>
      </c>
      <c r="F21" s="614">
        <f>'Dias trabalhados'!$C$49</f>
        <v>150.22</v>
      </c>
      <c r="G21" s="454" t="s">
        <v>355</v>
      </c>
      <c r="H21" s="311" t="s">
        <v>356</v>
      </c>
      <c r="I21" s="308">
        <f t="shared" si="2"/>
        <v>17291.77</v>
      </c>
      <c r="J21" s="308">
        <f t="shared" si="3"/>
        <v>115.11</v>
      </c>
      <c r="L21" s="567">
        <v>17274.580000000002</v>
      </c>
      <c r="M21" s="568">
        <f>ROUND(L21*(Reajuste!$O$12/Reajuste!$O$11),2)</f>
        <v>17291.77</v>
      </c>
      <c r="N21" s="673"/>
      <c r="O21" s="449"/>
    </row>
    <row r="22" spans="1:15" ht="19.149999999999999" customHeight="1" thickBot="1">
      <c r="A22" s="303" t="s">
        <v>361</v>
      </c>
      <c r="B22" s="320" t="s">
        <v>369</v>
      </c>
      <c r="C22" s="321"/>
      <c r="D22" s="312" t="s">
        <v>353</v>
      </c>
      <c r="E22" s="310" t="s">
        <v>370</v>
      </c>
      <c r="F22" s="614">
        <f>'Dias trabalhados'!$C$49</f>
        <v>150.22</v>
      </c>
      <c r="G22" s="454" t="s">
        <v>355</v>
      </c>
      <c r="H22" s="311" t="s">
        <v>356</v>
      </c>
      <c r="I22" s="308">
        <f t="shared" si="2"/>
        <v>18151.59</v>
      </c>
      <c r="J22" s="308">
        <f t="shared" si="3"/>
        <v>120.83</v>
      </c>
      <c r="L22" s="572">
        <v>18133.55</v>
      </c>
      <c r="M22" s="573">
        <f>ROUND(L22*(Reajuste!$O$12/Reajuste!$O$11),2)</f>
        <v>18151.59</v>
      </c>
      <c r="N22" s="674"/>
      <c r="O22" s="449"/>
    </row>
    <row r="23" spans="1:15" ht="5.45" customHeight="1">
      <c r="A23" s="281"/>
      <c r="B23" s="281"/>
      <c r="C23" s="296"/>
      <c r="D23" s="314"/>
      <c r="E23" s="314"/>
      <c r="F23" s="314"/>
      <c r="G23" s="298"/>
      <c r="H23" s="298"/>
      <c r="I23" s="298"/>
      <c r="J23" s="315"/>
      <c r="L23" s="452"/>
      <c r="M23" s="449"/>
      <c r="N23" s="449"/>
      <c r="O23" s="449"/>
    </row>
    <row r="24" spans="1:15" ht="20.45" customHeight="1">
      <c r="A24" s="293">
        <v>3</v>
      </c>
      <c r="B24" s="294" t="s">
        <v>138</v>
      </c>
      <c r="C24" s="294"/>
      <c r="D24" s="295"/>
      <c r="E24" s="295"/>
      <c r="F24" s="295"/>
      <c r="G24" s="295"/>
      <c r="H24" s="295"/>
      <c r="I24" s="295"/>
      <c r="J24" s="295"/>
      <c r="L24" s="688" t="s">
        <v>371</v>
      </c>
      <c r="M24" s="688"/>
      <c r="N24" s="449"/>
      <c r="O24" s="449"/>
    </row>
    <row r="25" spans="1:15" ht="6.6" customHeight="1">
      <c r="A25" s="281"/>
      <c r="B25" s="281"/>
      <c r="C25" s="296"/>
      <c r="D25" s="297"/>
      <c r="E25" s="297"/>
      <c r="F25" s="297"/>
      <c r="G25" s="298"/>
      <c r="H25" s="298"/>
      <c r="I25" s="298"/>
      <c r="J25" s="297"/>
      <c r="L25" s="452"/>
      <c r="M25" s="449"/>
      <c r="N25" s="449"/>
      <c r="O25" s="449"/>
    </row>
    <row r="26" spans="1:15" ht="19.149999999999999" customHeight="1">
      <c r="A26" s="316" t="s">
        <v>68</v>
      </c>
      <c r="B26" s="317" t="s">
        <v>372</v>
      </c>
      <c r="C26" s="317"/>
      <c r="D26" s="317"/>
      <c r="E26" s="318"/>
      <c r="F26" s="318"/>
      <c r="G26" s="316"/>
      <c r="H26" s="317"/>
      <c r="I26" s="318"/>
      <c r="J26" s="319"/>
      <c r="K26" s="563"/>
      <c r="L26" s="452"/>
      <c r="M26" s="449"/>
      <c r="N26" s="449"/>
      <c r="O26" s="449"/>
    </row>
    <row r="27" spans="1:15" ht="21" customHeight="1">
      <c r="A27" s="303" t="s">
        <v>351</v>
      </c>
      <c r="B27" s="672" t="s">
        <v>373</v>
      </c>
      <c r="C27" s="672"/>
      <c r="D27" s="330" t="s">
        <v>371</v>
      </c>
      <c r="E27" s="322">
        <v>65001207</v>
      </c>
      <c r="F27" s="322">
        <v>65001207</v>
      </c>
      <c r="G27" s="454" t="s">
        <v>374</v>
      </c>
      <c r="H27" s="307" t="s">
        <v>375</v>
      </c>
      <c r="I27" s="323" t="s">
        <v>376</v>
      </c>
      <c r="J27" s="308">
        <v>1417.53</v>
      </c>
      <c r="L27" s="452"/>
      <c r="M27" s="453"/>
      <c r="N27" s="450"/>
      <c r="O27" s="451"/>
    </row>
    <row r="28" spans="1:15" ht="23.25" customHeight="1">
      <c r="A28" s="324" t="s">
        <v>358</v>
      </c>
      <c r="B28" s="672" t="s">
        <v>377</v>
      </c>
      <c r="C28" s="672"/>
      <c r="D28" s="330" t="s">
        <v>371</v>
      </c>
      <c r="E28" s="322">
        <v>65001209</v>
      </c>
      <c r="F28" s="322">
        <v>65001209</v>
      </c>
      <c r="G28" s="454" t="s">
        <v>374</v>
      </c>
      <c r="H28" s="307" t="s">
        <v>375</v>
      </c>
      <c r="I28" s="323" t="s">
        <v>376</v>
      </c>
      <c r="J28" s="308">
        <v>506.64</v>
      </c>
      <c r="L28" s="452"/>
      <c r="M28" s="453"/>
      <c r="N28" s="450"/>
      <c r="O28" s="451"/>
    </row>
    <row r="29" spans="1:15" ht="21" customHeight="1">
      <c r="A29" s="324" t="s">
        <v>361</v>
      </c>
      <c r="B29" s="686" t="s">
        <v>378</v>
      </c>
      <c r="C29" s="686"/>
      <c r="D29" s="330" t="s">
        <v>371</v>
      </c>
      <c r="E29" s="325">
        <v>65001210</v>
      </c>
      <c r="F29" s="325">
        <v>65001210</v>
      </c>
      <c r="G29" s="454" t="s">
        <v>374</v>
      </c>
      <c r="H29" s="311" t="s">
        <v>181</v>
      </c>
      <c r="I29" s="326" t="s">
        <v>376</v>
      </c>
      <c r="J29" s="308">
        <v>155.6</v>
      </c>
      <c r="L29" s="452"/>
      <c r="M29" s="453"/>
      <c r="N29" s="450"/>
      <c r="O29" s="451"/>
    </row>
    <row r="30" spans="1:15" ht="7.15" customHeight="1">
      <c r="A30" s="281"/>
      <c r="B30" s="281"/>
      <c r="C30" s="296"/>
      <c r="D30" s="327"/>
      <c r="E30" s="327"/>
      <c r="F30" s="327"/>
      <c r="G30" s="298"/>
      <c r="H30" s="298"/>
      <c r="I30" s="328"/>
      <c r="J30" s="297"/>
      <c r="L30" s="452"/>
      <c r="M30" s="453"/>
      <c r="N30" s="450"/>
      <c r="O30" s="451"/>
    </row>
    <row r="31" spans="1:15" ht="19.149999999999999" customHeight="1">
      <c r="A31" s="316" t="s">
        <v>69</v>
      </c>
      <c r="B31" s="317" t="s">
        <v>379</v>
      </c>
      <c r="C31" s="317"/>
      <c r="D31" s="317"/>
      <c r="E31" s="318"/>
      <c r="F31" s="318"/>
      <c r="G31" s="316"/>
      <c r="H31" s="317"/>
      <c r="I31" s="318"/>
      <c r="J31" s="319"/>
      <c r="K31" s="563"/>
      <c r="L31" s="452"/>
      <c r="M31" s="453"/>
      <c r="N31" s="450"/>
      <c r="O31" s="451"/>
    </row>
    <row r="32" spans="1:15" ht="20.25" customHeight="1">
      <c r="A32" s="303" t="s">
        <v>351</v>
      </c>
      <c r="B32" s="329" t="s">
        <v>380</v>
      </c>
      <c r="C32" s="329"/>
      <c r="D32" s="330" t="s">
        <v>371</v>
      </c>
      <c r="E32" s="331">
        <v>65003710</v>
      </c>
      <c r="F32" s="331">
        <v>65003710</v>
      </c>
      <c r="G32" s="454" t="s">
        <v>374</v>
      </c>
      <c r="H32" s="307" t="s">
        <v>157</v>
      </c>
      <c r="I32" s="323" t="s">
        <v>376</v>
      </c>
      <c r="J32" s="308">
        <v>5.32</v>
      </c>
      <c r="L32" s="452"/>
      <c r="M32" s="453"/>
      <c r="N32" s="450"/>
      <c r="O32" s="451"/>
    </row>
    <row r="33" spans="1:15" ht="21" customHeight="1">
      <c r="A33" s="324" t="s">
        <v>358</v>
      </c>
      <c r="B33" s="686" t="s">
        <v>381</v>
      </c>
      <c r="C33" s="686"/>
      <c r="D33" s="330" t="s">
        <v>371</v>
      </c>
      <c r="E33" s="332">
        <v>65001667</v>
      </c>
      <c r="F33" s="332">
        <v>65001667</v>
      </c>
      <c r="G33" s="454" t="s">
        <v>374</v>
      </c>
      <c r="H33" s="312" t="s">
        <v>382</v>
      </c>
      <c r="I33" s="313" t="s">
        <v>376</v>
      </c>
      <c r="J33" s="308">
        <v>58490.33</v>
      </c>
      <c r="L33" s="452"/>
      <c r="M33" s="453"/>
      <c r="N33" s="450"/>
      <c r="O33" s="451"/>
    </row>
    <row r="34" spans="1:15" ht="20.25" customHeight="1">
      <c r="A34" s="324" t="s">
        <v>361</v>
      </c>
      <c r="B34" s="686" t="s">
        <v>383</v>
      </c>
      <c r="C34" s="686"/>
      <c r="D34" s="330" t="s">
        <v>371</v>
      </c>
      <c r="E34" s="332">
        <v>65001668</v>
      </c>
      <c r="F34" s="332">
        <v>65001668</v>
      </c>
      <c r="G34" s="454" t="s">
        <v>374</v>
      </c>
      <c r="H34" s="307" t="s">
        <v>382</v>
      </c>
      <c r="I34" s="313" t="s">
        <v>376</v>
      </c>
      <c r="J34" s="308">
        <v>31279.74</v>
      </c>
      <c r="L34" s="452"/>
      <c r="M34" s="453"/>
      <c r="N34" s="450"/>
      <c r="O34" s="451"/>
    </row>
    <row r="35" spans="1:15" ht="7.9" customHeight="1">
      <c r="A35" s="281"/>
      <c r="B35" s="281"/>
      <c r="C35" s="296"/>
      <c r="D35" s="314"/>
      <c r="E35" s="314"/>
      <c r="F35" s="314"/>
      <c r="G35" s="298"/>
      <c r="H35" s="298"/>
      <c r="I35" s="328"/>
      <c r="J35" s="333"/>
      <c r="L35" s="452"/>
      <c r="M35" s="453"/>
      <c r="N35" s="450"/>
      <c r="O35" s="451"/>
    </row>
    <row r="36" spans="1:15" ht="19.149999999999999" customHeight="1">
      <c r="A36" s="316" t="s">
        <v>70</v>
      </c>
      <c r="B36" s="317" t="s">
        <v>384</v>
      </c>
      <c r="C36" s="317"/>
      <c r="D36" s="317"/>
      <c r="E36" s="318"/>
      <c r="F36" s="318"/>
      <c r="G36" s="316"/>
      <c r="H36" s="317"/>
      <c r="I36" s="318"/>
      <c r="J36" s="319"/>
      <c r="K36" s="563"/>
      <c r="L36" s="452"/>
      <c r="M36" s="453"/>
      <c r="N36" s="450"/>
      <c r="O36" s="451"/>
    </row>
    <row r="37" spans="1:15" ht="18.75" customHeight="1">
      <c r="A37" s="303" t="s">
        <v>351</v>
      </c>
      <c r="B37" s="686" t="s">
        <v>381</v>
      </c>
      <c r="C37" s="686"/>
      <c r="D37" s="330" t="s">
        <v>371</v>
      </c>
      <c r="E37" s="332">
        <v>65001667</v>
      </c>
      <c r="F37" s="332">
        <v>65001667</v>
      </c>
      <c r="G37" s="454" t="s">
        <v>374</v>
      </c>
      <c r="H37" s="312" t="s">
        <v>382</v>
      </c>
      <c r="I37" s="313" t="s">
        <v>376</v>
      </c>
      <c r="J37" s="308">
        <v>58490.33</v>
      </c>
      <c r="L37" s="452"/>
      <c r="M37" s="453"/>
      <c r="N37" s="450"/>
      <c r="O37" s="451"/>
    </row>
    <row r="38" spans="1:15" ht="19.5" customHeight="1">
      <c r="A38" s="324" t="s">
        <v>358</v>
      </c>
      <c r="B38" s="686" t="s">
        <v>383</v>
      </c>
      <c r="C38" s="686"/>
      <c r="D38" s="330" t="s">
        <v>371</v>
      </c>
      <c r="E38" s="332">
        <v>65001668</v>
      </c>
      <c r="F38" s="332">
        <v>65001668</v>
      </c>
      <c r="G38" s="454" t="s">
        <v>374</v>
      </c>
      <c r="H38" s="307" t="s">
        <v>382</v>
      </c>
      <c r="I38" s="313" t="s">
        <v>376</v>
      </c>
      <c r="J38" s="308">
        <v>31279.74</v>
      </c>
      <c r="L38" s="452"/>
      <c r="M38" s="450"/>
      <c r="O38" s="451"/>
    </row>
    <row r="39" spans="1:15" ht="7.9" customHeight="1">
      <c r="A39" s="281"/>
      <c r="B39" s="281"/>
      <c r="C39" s="296"/>
      <c r="D39" s="314"/>
      <c r="E39" s="314"/>
      <c r="F39" s="314"/>
      <c r="G39" s="298"/>
      <c r="H39" s="298"/>
      <c r="I39" s="328"/>
      <c r="J39" s="333"/>
    </row>
    <row r="40" spans="1:15" ht="20.45" customHeight="1">
      <c r="A40" s="293">
        <v>4</v>
      </c>
      <c r="B40" s="294" t="s">
        <v>385</v>
      </c>
      <c r="C40" s="294"/>
      <c r="D40" s="295"/>
      <c r="E40" s="295"/>
      <c r="F40" s="295"/>
      <c r="G40" s="295"/>
      <c r="H40" s="295"/>
      <c r="I40" s="295"/>
      <c r="J40" s="295"/>
    </row>
    <row r="41" spans="1:15" ht="7.9" customHeight="1">
      <c r="A41" s="281"/>
      <c r="B41" s="281"/>
      <c r="C41" s="296"/>
      <c r="D41" s="314"/>
      <c r="E41" s="314"/>
      <c r="F41" s="314"/>
      <c r="G41" s="298"/>
      <c r="H41" s="298"/>
      <c r="I41" s="328"/>
      <c r="J41" s="333"/>
    </row>
    <row r="42" spans="1:15" ht="19.149999999999999" customHeight="1">
      <c r="A42" s="316" t="s">
        <v>81</v>
      </c>
      <c r="B42" s="317" t="s">
        <v>386</v>
      </c>
      <c r="C42" s="317"/>
      <c r="D42" s="317"/>
      <c r="E42" s="318"/>
      <c r="F42" s="318"/>
      <c r="G42" s="316"/>
      <c r="H42" s="317"/>
      <c r="I42" s="318"/>
      <c r="J42" s="319"/>
      <c r="K42" s="563"/>
      <c r="L42" s="452"/>
      <c r="M42" s="453"/>
      <c r="N42" s="450"/>
      <c r="O42" s="451"/>
    </row>
    <row r="43" spans="1:15" ht="18.75" customHeight="1" thickBot="1">
      <c r="A43" s="303" t="s">
        <v>351</v>
      </c>
      <c r="B43" s="686" t="s">
        <v>387</v>
      </c>
      <c r="C43" s="686"/>
      <c r="D43" s="330" t="s">
        <v>371</v>
      </c>
      <c r="E43" s="332">
        <v>65001114</v>
      </c>
      <c r="F43" s="332">
        <v>65001114</v>
      </c>
      <c r="G43" s="454" t="s">
        <v>374</v>
      </c>
      <c r="H43" s="312" t="s">
        <v>375</v>
      </c>
      <c r="I43" s="313" t="s">
        <v>376</v>
      </c>
      <c r="J43" s="308">
        <v>453.96</v>
      </c>
      <c r="L43" s="452"/>
      <c r="M43" s="453"/>
      <c r="N43" s="450"/>
      <c r="O43" s="451"/>
    </row>
    <row r="44" spans="1:15" ht="19.5" customHeight="1">
      <c r="A44" s="324" t="s">
        <v>358</v>
      </c>
      <c r="B44" s="686" t="s">
        <v>388</v>
      </c>
      <c r="C44" s="686"/>
      <c r="D44" s="330" t="s">
        <v>371</v>
      </c>
      <c r="E44" s="332">
        <v>65001115</v>
      </c>
      <c r="F44" s="332">
        <v>65001115</v>
      </c>
      <c r="G44" s="454" t="s">
        <v>374</v>
      </c>
      <c r="H44" s="307" t="s">
        <v>375</v>
      </c>
      <c r="I44" s="313" t="s">
        <v>376</v>
      </c>
      <c r="J44" s="308">
        <v>179.28</v>
      </c>
      <c r="L44" s="682" t="s">
        <v>389</v>
      </c>
      <c r="M44" s="683"/>
      <c r="N44" s="684"/>
      <c r="O44" s="451"/>
    </row>
    <row r="45" spans="1:15" ht="19.5" customHeight="1">
      <c r="A45" s="334" t="s">
        <v>81</v>
      </c>
      <c r="B45" s="335" t="s">
        <v>385</v>
      </c>
      <c r="C45" s="335"/>
      <c r="D45" s="335"/>
      <c r="E45" s="335"/>
      <c r="F45" s="335"/>
      <c r="G45" s="335"/>
      <c r="H45" s="335"/>
      <c r="I45" s="336"/>
      <c r="J45" s="335"/>
      <c r="L45" s="663" t="s">
        <v>390</v>
      </c>
      <c r="M45" s="680" t="s">
        <v>350</v>
      </c>
      <c r="N45" s="681"/>
    </row>
    <row r="46" spans="1:15" ht="70.150000000000006" customHeight="1">
      <c r="A46" s="543" t="s">
        <v>351</v>
      </c>
      <c r="B46" s="672" t="s">
        <v>391</v>
      </c>
      <c r="C46" s="672"/>
      <c r="D46" s="544" t="s">
        <v>392</v>
      </c>
      <c r="E46" s="545" t="s">
        <v>393</v>
      </c>
      <c r="F46" s="545" t="s">
        <v>376</v>
      </c>
      <c r="G46" s="546" t="s">
        <v>355</v>
      </c>
      <c r="H46" s="547" t="s">
        <v>157</v>
      </c>
      <c r="I46" s="548" t="s">
        <v>376</v>
      </c>
      <c r="J46" s="549">
        <f>M46</f>
        <v>1.02</v>
      </c>
      <c r="L46" s="576">
        <v>1.02</v>
      </c>
      <c r="M46" s="577">
        <f>ROUND(L46*(Reajuste!$O$12/Reajuste!$O$11),2)</f>
        <v>1.02</v>
      </c>
      <c r="N46" s="578" t="s">
        <v>357</v>
      </c>
    </row>
    <row r="47" spans="1:15" ht="15.6" customHeight="1">
      <c r="A47" s="337" t="s">
        <v>394</v>
      </c>
      <c r="B47" s="337"/>
      <c r="D47" s="282"/>
      <c r="G47" s="339"/>
      <c r="H47" s="339"/>
      <c r="I47" s="339"/>
      <c r="J47" s="282"/>
      <c r="L47" s="455"/>
      <c r="N47" s="455"/>
    </row>
    <row r="48" spans="1:15" ht="15.6" customHeight="1">
      <c r="A48" s="290" t="s">
        <v>395</v>
      </c>
      <c r="B48" s="685" t="s">
        <v>396</v>
      </c>
      <c r="C48" s="685"/>
      <c r="D48" s="685"/>
      <c r="E48" s="685"/>
      <c r="F48" s="685"/>
      <c r="G48" s="685"/>
      <c r="H48" s="685"/>
      <c r="I48" s="685"/>
      <c r="J48" s="685"/>
      <c r="L48" s="455"/>
      <c r="N48" s="455"/>
    </row>
    <row r="49" spans="1:14" ht="15.6" customHeight="1">
      <c r="A49" s="290"/>
      <c r="B49" s="560" t="s">
        <v>274</v>
      </c>
      <c r="C49" s="561" t="s">
        <v>397</v>
      </c>
      <c r="D49" s="562"/>
      <c r="E49" s="562"/>
      <c r="F49" s="562"/>
      <c r="G49" s="562"/>
      <c r="H49" s="562"/>
      <c r="I49" s="562"/>
      <c r="J49" s="562"/>
      <c r="L49" s="455"/>
      <c r="N49" s="455"/>
    </row>
    <row r="50" spans="1:14" ht="12.75">
      <c r="A50" s="282" t="s">
        <v>398</v>
      </c>
      <c r="B50" s="687" t="s">
        <v>399</v>
      </c>
      <c r="C50" s="687"/>
      <c r="D50" s="687"/>
      <c r="E50" s="687"/>
      <c r="F50" s="687"/>
      <c r="G50" s="687"/>
      <c r="H50" s="687"/>
      <c r="I50" s="687"/>
      <c r="J50" s="687"/>
      <c r="L50" s="455"/>
      <c r="N50" s="455"/>
    </row>
    <row r="51" spans="1:14" ht="16.899999999999999" customHeight="1">
      <c r="B51" s="560" t="s">
        <v>274</v>
      </c>
      <c r="C51" s="561" t="s">
        <v>400</v>
      </c>
      <c r="D51" s="562"/>
      <c r="E51" s="562"/>
      <c r="F51" s="562"/>
      <c r="G51" s="562"/>
      <c r="H51" s="562"/>
      <c r="I51" s="562"/>
      <c r="J51" s="562"/>
      <c r="L51" s="455"/>
      <c r="N51" s="455"/>
    </row>
    <row r="52" spans="1:14" ht="14.45" customHeight="1">
      <c r="A52" s="282" t="s">
        <v>401</v>
      </c>
      <c r="B52" s="685" t="s">
        <v>402</v>
      </c>
      <c r="C52" s="685"/>
      <c r="D52" s="685"/>
      <c r="E52" s="685"/>
      <c r="F52" s="685"/>
      <c r="G52" s="685"/>
      <c r="H52" s="685"/>
      <c r="I52" s="685"/>
      <c r="J52" s="685"/>
      <c r="L52" s="455"/>
      <c r="N52" s="455"/>
    </row>
    <row r="53" spans="1:14" ht="15" customHeight="1">
      <c r="B53" s="557" t="s">
        <v>274</v>
      </c>
      <c r="C53" s="558" t="s">
        <v>403</v>
      </c>
      <c r="D53" s="559"/>
      <c r="E53" s="559"/>
      <c r="F53" s="559"/>
      <c r="G53" s="559"/>
      <c r="H53" s="559"/>
      <c r="I53" s="559"/>
      <c r="J53" s="559"/>
      <c r="L53" s="455"/>
      <c r="N53" s="455"/>
    </row>
    <row r="54" spans="1:14"/>
    <row r="55" spans="1:14"/>
    <row r="56" spans="1:14"/>
    <row r="57" spans="1:14"/>
    <row r="58" spans="1:14"/>
    <row r="59" spans="1:14"/>
    <row r="60" spans="1:14"/>
    <row r="61" spans="1:14"/>
    <row r="62" spans="1:14"/>
    <row r="63" spans="1:14"/>
    <row r="64" spans="1:1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</sheetData>
  <mergeCells count="29">
    <mergeCell ref="B1:J2"/>
    <mergeCell ref="M45:N45"/>
    <mergeCell ref="L10:N10"/>
    <mergeCell ref="L44:N44"/>
    <mergeCell ref="B52:J52"/>
    <mergeCell ref="B33:C33"/>
    <mergeCell ref="B50:J50"/>
    <mergeCell ref="B29:C29"/>
    <mergeCell ref="B38:C38"/>
    <mergeCell ref="B48:J48"/>
    <mergeCell ref="B37:C37"/>
    <mergeCell ref="B34:C34"/>
    <mergeCell ref="B46:C46"/>
    <mergeCell ref="L24:M24"/>
    <mergeCell ref="B43:C43"/>
    <mergeCell ref="B44:C44"/>
    <mergeCell ref="I7:J7"/>
    <mergeCell ref="A7:A8"/>
    <mergeCell ref="H7:H8"/>
    <mergeCell ref="D7:D8"/>
    <mergeCell ref="B7:C8"/>
    <mergeCell ref="E7:E8"/>
    <mergeCell ref="G7:G8"/>
    <mergeCell ref="B28:C28"/>
    <mergeCell ref="N13:N15"/>
    <mergeCell ref="N20:N22"/>
    <mergeCell ref="M12:N12"/>
    <mergeCell ref="M19:N19"/>
    <mergeCell ref="B27:C27"/>
  </mergeCells>
  <phoneticPr fontId="5" type="noConversion"/>
  <conditionalFormatting sqref="A14:A15">
    <cfRule type="duplicateValues" dxfId="2" priority="4"/>
  </conditionalFormatting>
  <conditionalFormatting sqref="A20:A21">
    <cfRule type="duplicateValues" dxfId="1" priority="5"/>
  </conditionalFormatting>
  <hyperlinks>
    <hyperlink ref="C49" r:id="rId1" xr:uid="{7E824F9B-BBAF-4E3C-A1C0-925B474AAD79}"/>
    <hyperlink ref="C51" r:id="rId2" xr:uid="{2E2B2C01-2725-4B6E-BCD2-A7B44166AF5F}"/>
    <hyperlink ref="C53" r:id="rId3" xr:uid="{58C577C7-B8C4-4530-930E-CA70798E0F03}"/>
  </hyperlinks>
  <printOptions horizontalCentered="1"/>
  <pageMargins left="0.51181102362204722" right="0.51181102362204722" top="0.78740157480314965" bottom="0.78740157480314965" header="0.31496062992125984" footer="0.31496062992125984"/>
  <pageSetup paperSize="9" scale="42" fitToHeight="0" orientation="portrait" r:id="rId4"/>
  <drawing r:id="rId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8" tint="-0.249977111117893"/>
    <pageSetUpPr fitToPage="1"/>
  </sheetPr>
  <dimension ref="A1:AA44"/>
  <sheetViews>
    <sheetView showGridLines="0" view="pageBreakPreview" topLeftCell="A14" zoomScale="90" zoomScaleNormal="70" zoomScaleSheetLayoutView="90" workbookViewId="0">
      <selection activeCell="O15" sqref="O15"/>
    </sheetView>
  </sheetViews>
  <sheetFormatPr defaultColWidth="9.140625" defaultRowHeight="15.6"/>
  <cols>
    <col min="1" max="1" width="21.85546875" style="108" customWidth="1"/>
    <col min="2" max="2" width="26" style="108" bestFit="1" customWidth="1"/>
    <col min="3" max="3" width="17.85546875" style="108" bestFit="1" customWidth="1"/>
    <col min="4" max="4" width="21.140625" style="108" bestFit="1" customWidth="1"/>
    <col min="5" max="5" width="16" style="108" bestFit="1" customWidth="1"/>
    <col min="6" max="6" width="10.7109375" style="108" bestFit="1" customWidth="1"/>
    <col min="7" max="7" width="13.7109375" style="108" bestFit="1" customWidth="1"/>
    <col min="8" max="8" width="19.28515625" style="108" bestFit="1" customWidth="1"/>
    <col min="9" max="9" width="18.42578125" style="108" bestFit="1" customWidth="1"/>
    <col min="10" max="10" width="14.5703125" style="108" bestFit="1" customWidth="1"/>
    <col min="11" max="11" width="16.28515625" style="108" bestFit="1" customWidth="1"/>
    <col min="12" max="12" width="12.42578125" style="108" bestFit="1" customWidth="1"/>
    <col min="13" max="13" width="12" style="108" bestFit="1" customWidth="1"/>
    <col min="14" max="14" width="9.140625" style="108" customWidth="1"/>
    <col min="15" max="16384" width="9.140625" style="108"/>
  </cols>
  <sheetData>
    <row r="1" spans="1:13" ht="20.25" customHeight="1">
      <c r="A1" s="56"/>
      <c r="B1" s="714" t="str">
        <f>Capa!A19</f>
        <v xml:space="preserve">ORÇAMENTO PARA ELABORAÇÃO DE PROJETOS DE SISTEMA DE ESGOTAMENTO SANITÁRIO </v>
      </c>
      <c r="C1" s="714"/>
      <c r="D1" s="714"/>
      <c r="E1" s="714"/>
      <c r="F1" s="714"/>
      <c r="G1" s="714"/>
      <c r="H1" s="714"/>
      <c r="I1" s="714"/>
      <c r="J1" s="714"/>
      <c r="K1" s="714"/>
      <c r="L1" s="714"/>
      <c r="M1" s="714"/>
    </row>
    <row r="2" spans="1:13" ht="20.25" customHeight="1">
      <c r="A2" s="56"/>
      <c r="B2" s="714"/>
      <c r="C2" s="714"/>
      <c r="D2" s="714"/>
      <c r="E2" s="714"/>
      <c r="F2" s="714"/>
      <c r="G2" s="714"/>
      <c r="H2" s="714"/>
      <c r="I2" s="714"/>
      <c r="J2" s="714"/>
      <c r="K2" s="714"/>
      <c r="L2" s="714"/>
      <c r="M2" s="714"/>
    </row>
    <row r="3" spans="1:13" ht="14.25" customHeight="1">
      <c r="A3" s="109"/>
      <c r="B3" s="714"/>
      <c r="C3" s="714"/>
      <c r="D3" s="714"/>
      <c r="E3" s="714"/>
      <c r="F3" s="714"/>
      <c r="G3" s="714"/>
      <c r="H3" s="714"/>
      <c r="I3" s="714"/>
      <c r="J3" s="714"/>
      <c r="K3" s="714"/>
      <c r="L3" s="714"/>
      <c r="M3" s="714"/>
    </row>
    <row r="4" spans="1:13" ht="20.25" customHeight="1">
      <c r="A4" s="110" t="s">
        <v>404</v>
      </c>
      <c r="B4" s="59"/>
      <c r="C4" s="59"/>
      <c r="D4" s="60"/>
      <c r="E4" s="79"/>
      <c r="F4" s="53"/>
      <c r="G4" s="60"/>
      <c r="K4" s="62" t="s">
        <v>143</v>
      </c>
      <c r="L4" s="76">
        <f ca="1">'Dados Básicos do município'!H4</f>
        <v>46170</v>
      </c>
      <c r="M4"/>
    </row>
    <row r="5" spans="1:13" ht="20.25" customHeight="1">
      <c r="A5" s="110" t="s">
        <v>144</v>
      </c>
      <c r="B5" s="64" t="str">
        <f>'Dados Básicos do município'!B5</f>
        <v>CBH-PIRANGA</v>
      </c>
      <c r="C5" s="81"/>
      <c r="D5" s="86"/>
      <c r="E5" s="86"/>
      <c r="F5" s="53"/>
      <c r="G5" s="60"/>
      <c r="H5" s="60"/>
      <c r="I5" s="60"/>
      <c r="J5" s="60"/>
      <c r="K5" s="181" t="s">
        <v>405</v>
      </c>
      <c r="L5" s="469">
        <f>'Dias trabalhados'!C49</f>
        <v>150.22</v>
      </c>
      <c r="M5"/>
    </row>
    <row r="6" spans="1:13" ht="20.25" customHeight="1">
      <c r="A6" s="110" t="s">
        <v>145</v>
      </c>
      <c r="B6" s="64" t="str">
        <f>'Dados Básicos do município'!B6</f>
        <v>São Miguel do Anta/MG</v>
      </c>
      <c r="C6" s="81"/>
      <c r="D6" s="86"/>
      <c r="E6" s="86"/>
      <c r="F6" s="53"/>
      <c r="G6" s="60"/>
      <c r="H6" s="60"/>
      <c r="I6" s="60"/>
      <c r="J6" s="60"/>
      <c r="K6" s="180" t="s">
        <v>406</v>
      </c>
      <c r="L6" s="484">
        <f>'Dados Básicos do município'!C10</f>
        <v>6</v>
      </c>
      <c r="M6"/>
    </row>
    <row r="7" spans="1:13" ht="39.6" customHeight="1">
      <c r="A7" s="762" t="s">
        <v>407</v>
      </c>
      <c r="B7" s="762"/>
      <c r="C7" s="369">
        <v>1</v>
      </c>
      <c r="D7" s="367">
        <v>2</v>
      </c>
      <c r="E7" s="367">
        <v>3</v>
      </c>
      <c r="F7" s="367">
        <v>4</v>
      </c>
      <c r="G7" s="367">
        <v>5</v>
      </c>
      <c r="H7" s="367">
        <v>6</v>
      </c>
      <c r="I7" s="367" t="s">
        <v>408</v>
      </c>
      <c r="J7" s="367" t="s">
        <v>409</v>
      </c>
      <c r="K7" s="367">
        <v>8</v>
      </c>
      <c r="L7" s="763" t="s">
        <v>410</v>
      </c>
      <c r="M7" s="369" t="s">
        <v>411</v>
      </c>
    </row>
    <row r="8" spans="1:13" s="86" customFormat="1" ht="43.5" customHeight="1">
      <c r="A8" s="761" t="s">
        <v>412</v>
      </c>
      <c r="B8" s="761"/>
      <c r="C8" s="368" t="s">
        <v>413</v>
      </c>
      <c r="D8" s="368" t="s">
        <v>414</v>
      </c>
      <c r="E8" s="368" t="s">
        <v>415</v>
      </c>
      <c r="F8" s="368" t="s">
        <v>416</v>
      </c>
      <c r="G8" s="368" t="s">
        <v>417</v>
      </c>
      <c r="H8" s="368" t="s">
        <v>418</v>
      </c>
      <c r="I8" s="368" t="s">
        <v>419</v>
      </c>
      <c r="J8" s="368" t="s">
        <v>420</v>
      </c>
      <c r="K8" s="368" t="s">
        <v>421</v>
      </c>
      <c r="L8" s="764"/>
      <c r="M8" s="522">
        <f>MAX(M9:M14)</f>
        <v>6</v>
      </c>
    </row>
    <row r="9" spans="1:13" ht="20.25" customHeight="1">
      <c r="A9" s="765" t="s">
        <v>347</v>
      </c>
      <c r="B9" s="416" t="s">
        <v>422</v>
      </c>
      <c r="C9" s="607">
        <f>IF(B34="","",ROUND(B34*$B$33*$L$5,2))</f>
        <v>25.24</v>
      </c>
      <c r="D9" s="607">
        <f>IF(C34="","",ROUND(C34*$C$33*$L$5,2))</f>
        <v>9.69</v>
      </c>
      <c r="E9" s="607">
        <f>IF(D34="","",ROUND(D34*$D$33*$L$5,2))</f>
        <v>9.69</v>
      </c>
      <c r="F9" s="607">
        <f>IF(E34="","",ROUND(E34*$E$33*$L$5,2))</f>
        <v>51.68</v>
      </c>
      <c r="G9" s="607">
        <f>IF(F34="","",ROUND(F34*$F$33*$L$5,2))</f>
        <v>102.75</v>
      </c>
      <c r="H9" s="607">
        <f>IF(G34="","",ROUND(G34*$G$33*$L$5,2))</f>
        <v>19.38</v>
      </c>
      <c r="I9" s="607">
        <f>IF(H34="","",ROUND(H34*$H$33*$L$5,2))</f>
        <v>9.4600000000000009</v>
      </c>
      <c r="J9" s="607">
        <f>IF(I34="","",ROUND(I34*$I$33*$L$5,2))</f>
        <v>19.38</v>
      </c>
      <c r="K9" s="607">
        <f>IF(J34="","",ROUND(J34*$J$33*$L$5,2))</f>
        <v>38.76</v>
      </c>
      <c r="L9" s="607">
        <f>SUM(C9:K9)</f>
        <v>286.03000000000003</v>
      </c>
      <c r="M9" s="607">
        <f>ROUND(L9/$L$5,2)</f>
        <v>1.9</v>
      </c>
    </row>
    <row r="10" spans="1:13" ht="20.25" customHeight="1">
      <c r="A10" s="765"/>
      <c r="B10" s="416" t="s">
        <v>423</v>
      </c>
      <c r="C10" s="607">
        <f>IF(B35="","",ROUND(B35*$B$33*$L$5,2))</f>
        <v>15.77</v>
      </c>
      <c r="D10" s="607">
        <f>IF(C35="","",ROUND(C35*$C$33*$L$5,2))</f>
        <v>12.92</v>
      </c>
      <c r="E10" s="607">
        <f>IF(D35="","",ROUND(D35*$D$33*$L$5,2))</f>
        <v>12.92</v>
      </c>
      <c r="F10" s="607">
        <f>IF(E35="","",ROUND(E35*$E$33*$L$5,2))</f>
        <v>77.510000000000005</v>
      </c>
      <c r="G10" s="607">
        <f>IF(F35="","",ROUND(F35*$F$33*$L$5,2))</f>
        <v>141.28</v>
      </c>
      <c r="H10" s="607">
        <f>IF(G35="","",ROUND(G35*$G$33*$L$5,2))</f>
        <v>0</v>
      </c>
      <c r="I10" s="607">
        <f>IF(H35="","",ROUND(H35*$H$33*$L$5,2))</f>
        <v>0</v>
      </c>
      <c r="J10" s="607">
        <f>IF(I35="","",ROUND(I35*$I$33*$L$5,2))</f>
        <v>0</v>
      </c>
      <c r="K10" s="607">
        <f>IF(J35="","",ROUND(J35*$J$33*$L$5,2))</f>
        <v>53.29</v>
      </c>
      <c r="L10" s="607">
        <f t="shared" ref="L10:L14" si="0">SUM(C10:K10)</f>
        <v>313.69</v>
      </c>
      <c r="M10" s="607">
        <f t="shared" ref="M10:M14" si="1">ROUND(L10/$L$5,2)</f>
        <v>2.09</v>
      </c>
    </row>
    <row r="11" spans="1:13" ht="20.25" customHeight="1">
      <c r="A11" s="765"/>
      <c r="B11" s="416" t="s">
        <v>424</v>
      </c>
      <c r="C11" s="607">
        <f>IF(B38="","",ROUND(B38*$B$33*$L$5,2))</f>
        <v>31.55</v>
      </c>
      <c r="D11" s="607">
        <f>IF(C38="","",ROUND(C38*$C$33*$L$5,2))</f>
        <v>64.59</v>
      </c>
      <c r="E11" s="607">
        <f>IF(D38="","",ROUND(D38*$D$33*$L$5,2))</f>
        <v>64.59</v>
      </c>
      <c r="F11" s="607">
        <f>IF(E38="","",ROUND(E38*$E$33*$L$5,2))</f>
        <v>129.19</v>
      </c>
      <c r="G11" s="607">
        <f>IF(F38="","",ROUND(F38*$F$33*$L$5,2))</f>
        <v>256.88</v>
      </c>
      <c r="H11" s="607">
        <f>IF(G38="","",ROUND(G38*$G$33*$L$5,2))</f>
        <v>64.59</v>
      </c>
      <c r="I11" s="607">
        <f>IF(H38="","",ROUND(H38*$H$33*$L$5,2))</f>
        <v>31.55</v>
      </c>
      <c r="J11" s="607">
        <f>IF(I38="","",ROUND(I38*$I$33*$L$5,2))</f>
        <v>64.59</v>
      </c>
      <c r="K11" s="607">
        <f>IF(J38="","",ROUND(J38*$J$33*$L$5,2))</f>
        <v>193.78</v>
      </c>
      <c r="L11" s="607">
        <f t="shared" si="0"/>
        <v>901.31</v>
      </c>
      <c r="M11" s="607">
        <f t="shared" si="1"/>
        <v>6</v>
      </c>
    </row>
    <row r="12" spans="1:13" customFormat="1" ht="20.25" customHeight="1">
      <c r="A12" s="765" t="s">
        <v>425</v>
      </c>
      <c r="B12" s="416" t="s">
        <v>426</v>
      </c>
      <c r="C12" s="607">
        <f>IF(B40="","",ROUND(B40*$B$33*$L$5,2))</f>
        <v>0</v>
      </c>
      <c r="D12" s="607">
        <f>IF(C40="","",ROUND(C40*$C$33*$L$5,2))</f>
        <v>0</v>
      </c>
      <c r="E12" s="607">
        <f>IF(D40="","",ROUND(D40*$D$33*$L$5,2))</f>
        <v>0</v>
      </c>
      <c r="F12" s="607">
        <f>IF(E40="","",ROUND(E40*$E$33*$L$5,2))</f>
        <v>0</v>
      </c>
      <c r="G12" s="607">
        <f>IF(F40="","",ROUND(F40*$F$33*$L$5,2))</f>
        <v>25.69</v>
      </c>
      <c r="H12" s="607">
        <f>IF(G40="","",ROUND(G40*$G$33*$L$5,2))</f>
        <v>0</v>
      </c>
      <c r="I12" s="607">
        <f>IF(H40="","",ROUND(H40*$H$33*$L$5,2))</f>
        <v>0</v>
      </c>
      <c r="J12" s="607">
        <f>IF(I40="","",ROUND(I40*$I$33*$L$5,2))</f>
        <v>0</v>
      </c>
      <c r="K12" s="607">
        <f>IF(J40="","",ROUND(J40*$J$33*$L$5,2))</f>
        <v>96.89</v>
      </c>
      <c r="L12" s="607">
        <f t="shared" si="0"/>
        <v>122.58</v>
      </c>
      <c r="M12" s="607">
        <f t="shared" si="1"/>
        <v>0.82</v>
      </c>
    </row>
    <row r="13" spans="1:13" customFormat="1" ht="20.25" customHeight="1">
      <c r="A13" s="765"/>
      <c r="B13" s="416" t="s">
        <v>427</v>
      </c>
      <c r="C13" s="607">
        <f>IF(B41="","",ROUND(B41*$B$33*$L$5,2))</f>
        <v>0</v>
      </c>
      <c r="D13" s="607">
        <f>IF(C41="","",ROUND(C41*$C$33*$L$5,2))</f>
        <v>0</v>
      </c>
      <c r="E13" s="607">
        <f>IF(D41="","",ROUND(D41*$D$33*$L$5,2))</f>
        <v>0</v>
      </c>
      <c r="F13" s="607">
        <f>IF(E41="","",ROUND(E41*$E$33*$L$5,2))</f>
        <v>0</v>
      </c>
      <c r="G13" s="607">
        <f>IF(F41="","",ROUND(F41*$F$33*$L$5,2))</f>
        <v>25.69</v>
      </c>
      <c r="H13" s="607">
        <f>IF(G41="","",ROUND(G41*$G$33*$L$5,2))</f>
        <v>0</v>
      </c>
      <c r="I13" s="607">
        <f>IF(H41="","",ROUND(H41*$H$33*$L$5,2))</f>
        <v>0</v>
      </c>
      <c r="J13" s="607">
        <f>IF(I41="","",ROUND(I41*$I$33*$L$5,2))</f>
        <v>0</v>
      </c>
      <c r="K13" s="607">
        <f>IF(J41="","",ROUND(J41*$J$33*$L$5,2))</f>
        <v>96.89</v>
      </c>
      <c r="L13" s="607">
        <f t="shared" si="0"/>
        <v>122.58</v>
      </c>
      <c r="M13" s="607">
        <f t="shared" si="1"/>
        <v>0.82</v>
      </c>
    </row>
    <row r="14" spans="1:13" customFormat="1" ht="20.25" customHeight="1">
      <c r="A14" s="765"/>
      <c r="B14" s="416" t="s">
        <v>369</v>
      </c>
      <c r="C14" s="607">
        <f>IF(B43="","",ROUND(B43*$B$33*$L$5,2))</f>
        <v>0</v>
      </c>
      <c r="D14" s="607">
        <f>IF(C43="","",ROUND(C43*$C$33*$L$5,2))</f>
        <v>0</v>
      </c>
      <c r="E14" s="607">
        <f>IF(D43="","",ROUND(D43*$D$33*$L$5,2))</f>
        <v>0</v>
      </c>
      <c r="F14" s="607">
        <f>IF(E43="","",ROUND(E43*$E$33*$L$5,2))</f>
        <v>0</v>
      </c>
      <c r="G14" s="607">
        <f>IF(F43="","",ROUND(F43*$F$33*$L$5,2))</f>
        <v>0</v>
      </c>
      <c r="H14" s="607">
        <f>IF(G43="","",ROUND(G43*$G$33*$L$5,2))</f>
        <v>0</v>
      </c>
      <c r="I14" s="607">
        <f>IF(H43="","",ROUND(H43*$H$33*$L$5,2))</f>
        <v>31.55</v>
      </c>
      <c r="J14" s="607">
        <f>IF(I43="","",ROUND(I43*$I$33*$L$5,2))</f>
        <v>64.59</v>
      </c>
      <c r="K14" s="607">
        <f>IF(J43="","",ROUND(J43*$J$33*$L$5,2))</f>
        <v>0</v>
      </c>
      <c r="L14" s="607">
        <f t="shared" si="0"/>
        <v>96.14</v>
      </c>
      <c r="M14" s="607">
        <f t="shared" si="1"/>
        <v>0.64</v>
      </c>
    </row>
    <row r="15" spans="1:13" customFormat="1" ht="24" customHeight="1"/>
    <row r="16" spans="1:13" customFormat="1" ht="12.6" customHeight="1" thickBot="1">
      <c r="A16" s="757" t="s">
        <v>428</v>
      </c>
      <c r="B16" s="757"/>
      <c r="C16" s="757"/>
      <c r="D16" s="757"/>
      <c r="E16" s="757"/>
      <c r="F16" s="757"/>
      <c r="G16" s="757"/>
      <c r="H16" s="757"/>
      <c r="I16" s="757"/>
      <c r="J16" s="757"/>
      <c r="K16" s="757"/>
      <c r="L16" s="757"/>
      <c r="M16" s="757"/>
    </row>
    <row r="17" spans="1:27" customFormat="1">
      <c r="A17" s="769" t="s">
        <v>429</v>
      </c>
      <c r="B17" s="766" t="s">
        <v>430</v>
      </c>
      <c r="C17" s="767"/>
      <c r="D17" s="767"/>
      <c r="E17" s="767"/>
      <c r="F17" s="767"/>
      <c r="G17" s="767"/>
      <c r="H17" s="767"/>
      <c r="I17" s="767"/>
      <c r="J17" s="768"/>
      <c r="K17" s="758" t="s">
        <v>431</v>
      </c>
      <c r="L17" s="759"/>
      <c r="M17" s="760"/>
      <c r="Z17" s="465"/>
    </row>
    <row r="18" spans="1:27" s="465" customFormat="1" ht="13.9" thickBot="1">
      <c r="A18" s="770"/>
      <c r="B18" s="499" t="s">
        <v>432</v>
      </c>
      <c r="C18" s="499" t="s">
        <v>433</v>
      </c>
      <c r="D18" s="499" t="s">
        <v>55</v>
      </c>
      <c r="E18" s="499" t="s">
        <v>67</v>
      </c>
      <c r="F18" s="499" t="s">
        <v>434</v>
      </c>
      <c r="G18" s="499" t="s">
        <v>80</v>
      </c>
      <c r="H18" s="499" t="s">
        <v>435</v>
      </c>
      <c r="I18" s="499" t="s">
        <v>436</v>
      </c>
      <c r="J18" s="500" t="s">
        <v>437</v>
      </c>
      <c r="K18" s="512" t="s">
        <v>438</v>
      </c>
      <c r="L18" s="513" t="s">
        <v>439</v>
      </c>
      <c r="M18" s="514" t="s">
        <v>440</v>
      </c>
    </row>
    <row r="19" spans="1:27" customFormat="1">
      <c r="A19" s="501" t="s">
        <v>441</v>
      </c>
      <c r="B19" s="497" t="s">
        <v>442</v>
      </c>
      <c r="C19" s="497" t="s">
        <v>442</v>
      </c>
      <c r="D19" s="497" t="s">
        <v>442</v>
      </c>
      <c r="E19" s="497" t="s">
        <v>442</v>
      </c>
      <c r="F19" s="497" t="s">
        <v>442</v>
      </c>
      <c r="G19" s="497" t="s">
        <v>442</v>
      </c>
      <c r="H19" s="497" t="s">
        <v>442</v>
      </c>
      <c r="I19" s="497" t="s">
        <v>442</v>
      </c>
      <c r="J19" s="498" t="s">
        <v>442</v>
      </c>
      <c r="K19" s="505" t="s">
        <v>432</v>
      </c>
      <c r="L19" s="506">
        <v>0.25</v>
      </c>
      <c r="M19" s="615">
        <f>ROUND(L19/$L$28,4)</f>
        <v>3.5700000000000003E-2</v>
      </c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</row>
    <row r="20" spans="1:27" customFormat="1">
      <c r="A20" s="502" t="s">
        <v>443</v>
      </c>
      <c r="B20" s="465" t="s">
        <v>442</v>
      </c>
      <c r="C20" s="465" t="s">
        <v>442</v>
      </c>
      <c r="D20" s="465" t="s">
        <v>442</v>
      </c>
      <c r="E20" s="465" t="s">
        <v>442</v>
      </c>
      <c r="F20" s="465" t="s">
        <v>442</v>
      </c>
      <c r="G20" s="465"/>
      <c r="H20" s="465"/>
      <c r="I20" s="465"/>
      <c r="J20" s="503" t="s">
        <v>442</v>
      </c>
      <c r="K20" s="507" t="s">
        <v>433</v>
      </c>
      <c r="L20" s="506">
        <v>0.5</v>
      </c>
      <c r="M20" s="615">
        <f t="shared" ref="M20:M27" si="2">ROUND(L20/$L$28,4)</f>
        <v>7.1400000000000005E-2</v>
      </c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  <c r="Y20" s="108"/>
      <c r="Z20" s="108"/>
      <c r="AA20" s="108"/>
    </row>
    <row r="21" spans="1:27" customFormat="1">
      <c r="A21" s="502" t="s">
        <v>444</v>
      </c>
      <c r="B21" s="465"/>
      <c r="C21" s="465"/>
      <c r="D21" s="465"/>
      <c r="E21" s="465"/>
      <c r="F21" s="465"/>
      <c r="G21" s="465"/>
      <c r="H21" s="465"/>
      <c r="I21" s="465"/>
      <c r="J21" s="503"/>
      <c r="K21" s="507" t="s">
        <v>55</v>
      </c>
      <c r="L21" s="506">
        <v>0.5</v>
      </c>
      <c r="M21" s="615">
        <f t="shared" si="2"/>
        <v>7.1400000000000005E-2</v>
      </c>
      <c r="N21" s="108"/>
      <c r="O21" s="108"/>
      <c r="P21" s="108"/>
      <c r="Q21" s="108"/>
      <c r="R21" s="108"/>
      <c r="S21" s="108"/>
      <c r="T21" s="108"/>
      <c r="U21" s="108"/>
      <c r="V21" s="108"/>
      <c r="W21" s="108"/>
      <c r="X21" s="108"/>
      <c r="Y21" s="108"/>
      <c r="Z21" s="108"/>
      <c r="AA21" s="108"/>
    </row>
    <row r="22" spans="1:27" customFormat="1">
      <c r="A22" s="502" t="s">
        <v>445</v>
      </c>
      <c r="B22" s="465"/>
      <c r="C22" s="465"/>
      <c r="D22" s="465"/>
      <c r="E22" s="465"/>
      <c r="F22" s="465" t="s">
        <v>442</v>
      </c>
      <c r="G22" s="465"/>
      <c r="H22" s="465"/>
      <c r="I22" s="465"/>
      <c r="J22" s="503" t="s">
        <v>442</v>
      </c>
      <c r="K22" s="507" t="s">
        <v>67</v>
      </c>
      <c r="L22" s="506">
        <v>1</v>
      </c>
      <c r="M22" s="615">
        <f t="shared" si="2"/>
        <v>0.1429</v>
      </c>
      <c r="N22" s="108"/>
      <c r="O22" s="108"/>
      <c r="P22" s="108"/>
      <c r="Q22" s="108"/>
      <c r="R22" s="108"/>
      <c r="S22" s="108"/>
      <c r="T22" s="108"/>
      <c r="U22" s="108"/>
      <c r="V22" s="108"/>
      <c r="W22" s="108"/>
      <c r="X22" s="108"/>
      <c r="Y22" s="108"/>
      <c r="Z22" s="108"/>
      <c r="AA22" s="108"/>
    </row>
    <row r="23" spans="1:27" customFormat="1">
      <c r="A23" s="502" t="s">
        <v>446</v>
      </c>
      <c r="B23" s="465" t="s">
        <v>442</v>
      </c>
      <c r="C23" s="465" t="s">
        <v>442</v>
      </c>
      <c r="D23" s="465" t="s">
        <v>442</v>
      </c>
      <c r="E23" s="465" t="s">
        <v>442</v>
      </c>
      <c r="F23" s="465" t="s">
        <v>442</v>
      </c>
      <c r="G23" s="465" t="s">
        <v>442</v>
      </c>
      <c r="H23" s="465" t="s">
        <v>442</v>
      </c>
      <c r="I23" s="465" t="s">
        <v>442</v>
      </c>
      <c r="J23" s="503" t="s">
        <v>442</v>
      </c>
      <c r="K23" s="507" t="s">
        <v>434</v>
      </c>
      <c r="L23" s="506">
        <v>2</v>
      </c>
      <c r="M23" s="615">
        <f t="shared" si="2"/>
        <v>0.28570000000000001</v>
      </c>
      <c r="N23" s="108"/>
      <c r="O23" s="108"/>
      <c r="P23" s="108"/>
      <c r="Q23" s="108"/>
      <c r="R23" s="108"/>
      <c r="S23" s="108"/>
      <c r="T23" s="108"/>
      <c r="U23" s="108"/>
      <c r="V23" s="108"/>
      <c r="W23" s="108"/>
      <c r="X23" s="108"/>
      <c r="Y23" s="108"/>
      <c r="Z23" s="108"/>
      <c r="AA23" s="108"/>
    </row>
    <row r="24" spans="1:27" customFormat="1">
      <c r="A24" s="502" t="s">
        <v>447</v>
      </c>
      <c r="B24" s="465"/>
      <c r="C24" s="465"/>
      <c r="D24" s="465"/>
      <c r="E24" s="465"/>
      <c r="F24" s="465"/>
      <c r="G24" s="465"/>
      <c r="H24" s="465"/>
      <c r="I24" s="465"/>
      <c r="J24" s="503"/>
      <c r="K24" s="507" t="s">
        <v>80</v>
      </c>
      <c r="L24" s="506">
        <v>0.5</v>
      </c>
      <c r="M24" s="615">
        <f t="shared" si="2"/>
        <v>7.1400000000000005E-2</v>
      </c>
      <c r="N24" s="108"/>
      <c r="O24" s="108"/>
      <c r="P24" s="108"/>
      <c r="Q24" s="108"/>
      <c r="R24" s="108"/>
      <c r="S24" s="108"/>
      <c r="T24" s="108"/>
      <c r="U24" s="108"/>
      <c r="V24" s="108"/>
      <c r="W24" s="108"/>
      <c r="X24" s="108"/>
      <c r="Y24" s="108"/>
      <c r="Z24" s="108"/>
      <c r="AA24" s="108"/>
    </row>
    <row r="25" spans="1:27" customFormat="1">
      <c r="A25" s="502" t="s">
        <v>448</v>
      </c>
      <c r="B25" s="465"/>
      <c r="C25" s="465"/>
      <c r="D25" s="465"/>
      <c r="E25" s="465"/>
      <c r="F25" s="465" t="s">
        <v>442</v>
      </c>
      <c r="G25" s="465"/>
      <c r="H25" s="465"/>
      <c r="I25" s="465"/>
      <c r="J25" s="503" t="s">
        <v>442</v>
      </c>
      <c r="K25" s="507" t="s">
        <v>435</v>
      </c>
      <c r="L25" s="506">
        <v>0.25</v>
      </c>
      <c r="M25" s="615">
        <f t="shared" si="2"/>
        <v>3.5700000000000003E-2</v>
      </c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</row>
    <row r="26" spans="1:27" customFormat="1">
      <c r="A26" s="502" t="s">
        <v>449</v>
      </c>
      <c r="B26" s="465"/>
      <c r="C26" s="465"/>
      <c r="D26" s="465"/>
      <c r="E26" s="465"/>
      <c r="F26" s="465" t="s">
        <v>442</v>
      </c>
      <c r="G26" s="465"/>
      <c r="H26" s="465"/>
      <c r="I26" s="465"/>
      <c r="J26" s="503" t="s">
        <v>442</v>
      </c>
      <c r="K26" s="507" t="s">
        <v>436</v>
      </c>
      <c r="L26" s="506">
        <v>0.5</v>
      </c>
      <c r="M26" s="615">
        <f t="shared" si="2"/>
        <v>7.1400000000000005E-2</v>
      </c>
      <c r="N26" s="108"/>
      <c r="O26" s="108"/>
      <c r="P26" s="108"/>
      <c r="Q26" s="108"/>
      <c r="R26" s="108"/>
      <c r="S26" s="108"/>
      <c r="T26" s="108"/>
      <c r="U26" s="108"/>
      <c r="V26" s="108"/>
      <c r="W26" s="108"/>
      <c r="X26" s="108"/>
      <c r="Y26" s="108"/>
      <c r="Z26" s="108"/>
      <c r="AA26" s="108"/>
    </row>
    <row r="27" spans="1:27" customFormat="1">
      <c r="A27" s="502" t="s">
        <v>450</v>
      </c>
      <c r="B27" s="465"/>
      <c r="C27" s="465"/>
      <c r="D27" s="465"/>
      <c r="E27" s="465"/>
      <c r="F27" s="465"/>
      <c r="G27" s="465"/>
      <c r="H27" s="465"/>
      <c r="I27" s="465"/>
      <c r="J27" s="503"/>
      <c r="K27" s="507" t="s">
        <v>437</v>
      </c>
      <c r="L27" s="506">
        <v>1.5</v>
      </c>
      <c r="M27" s="615">
        <f t="shared" si="2"/>
        <v>0.21429999999999999</v>
      </c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8"/>
      <c r="Y27" s="108"/>
      <c r="Z27" s="108"/>
      <c r="AA27" s="108"/>
    </row>
    <row r="28" spans="1:27" customFormat="1" ht="13.15">
      <c r="A28" s="502" t="s">
        <v>451</v>
      </c>
      <c r="B28" s="465"/>
      <c r="C28" s="465"/>
      <c r="D28" s="465"/>
      <c r="E28" s="465"/>
      <c r="F28" s="465"/>
      <c r="G28" s="465"/>
      <c r="H28" s="465" t="s">
        <v>442</v>
      </c>
      <c r="I28" s="465" t="s">
        <v>442</v>
      </c>
      <c r="J28" s="503"/>
      <c r="K28" s="508"/>
      <c r="L28" s="509">
        <f>SUM(L19:L27)</f>
        <v>7</v>
      </c>
      <c r="M28" s="510"/>
      <c r="N28" s="481"/>
      <c r="O28" s="465"/>
      <c r="P28" s="465"/>
      <c r="Q28" s="465"/>
      <c r="R28" s="465"/>
      <c r="S28" s="465"/>
      <c r="T28" s="465"/>
      <c r="U28" s="465"/>
      <c r="V28" s="465"/>
      <c r="W28" s="465"/>
      <c r="X28" s="465"/>
    </row>
    <row r="29" spans="1:27" customFormat="1" ht="13.15">
      <c r="A29" s="502" t="s">
        <v>452</v>
      </c>
      <c r="B29" s="465"/>
      <c r="C29" s="465"/>
      <c r="D29" s="465"/>
      <c r="E29" s="465"/>
      <c r="F29" s="465"/>
      <c r="G29" s="465"/>
      <c r="H29" s="465"/>
      <c r="I29" s="465"/>
      <c r="J29" s="503"/>
      <c r="K29" s="502"/>
      <c r="M29" s="503"/>
      <c r="N29" s="482"/>
      <c r="O29" s="483"/>
      <c r="P29" s="465"/>
      <c r="Q29" s="465"/>
      <c r="R29" s="465"/>
      <c r="S29" s="465"/>
      <c r="T29" s="465"/>
      <c r="U29" s="465"/>
      <c r="V29" s="465"/>
      <c r="W29" s="465"/>
      <c r="X29" s="465"/>
    </row>
    <row r="30" spans="1:27" customFormat="1" ht="13.9" thickBot="1">
      <c r="A30" s="504"/>
      <c r="B30" s="499"/>
      <c r="C30" s="499"/>
      <c r="D30" s="499"/>
      <c r="E30" s="499"/>
      <c r="F30" s="499"/>
      <c r="G30" s="499"/>
      <c r="H30" s="499"/>
      <c r="I30" s="499"/>
      <c r="J30" s="500"/>
      <c r="K30" s="504"/>
      <c r="L30" s="511"/>
      <c r="M30" s="500"/>
      <c r="N30" s="482"/>
      <c r="O30" s="483"/>
      <c r="P30" s="465"/>
      <c r="Q30" s="465"/>
      <c r="R30" s="465"/>
      <c r="S30" s="465"/>
      <c r="T30" s="465"/>
      <c r="U30" s="465"/>
      <c r="V30" s="465"/>
      <c r="W30" s="465"/>
      <c r="X30" s="465"/>
    </row>
    <row r="31" spans="1:27" ht="16.149999999999999" thickBot="1">
      <c r="A31" s="518"/>
      <c r="B31" s="519"/>
      <c r="C31" s="519"/>
      <c r="D31" s="519"/>
      <c r="E31" s="519"/>
      <c r="F31" s="519"/>
      <c r="G31" s="519"/>
      <c r="H31" s="519"/>
      <c r="I31" s="519"/>
      <c r="J31" s="520"/>
    </row>
    <row r="32" spans="1:27" s="468" customFormat="1">
      <c r="A32" s="485" t="s">
        <v>438</v>
      </c>
      <c r="B32" s="486" t="s">
        <v>432</v>
      </c>
      <c r="C32" s="486" t="s">
        <v>433</v>
      </c>
      <c r="D32" s="486" t="s">
        <v>55</v>
      </c>
      <c r="E32" s="486" t="s">
        <v>67</v>
      </c>
      <c r="F32" s="486" t="s">
        <v>434</v>
      </c>
      <c r="G32" s="486" t="s">
        <v>80</v>
      </c>
      <c r="H32" s="486" t="s">
        <v>435</v>
      </c>
      <c r="I32" s="486" t="s">
        <v>436</v>
      </c>
      <c r="J32" s="487" t="s">
        <v>437</v>
      </c>
      <c r="K32" s="465"/>
      <c r="L32" s="465"/>
      <c r="M32" s="465"/>
      <c r="N32" s="465"/>
      <c r="O32" s="465"/>
    </row>
    <row r="33" spans="1:15" s="468" customFormat="1" ht="16.149999999999999" thickBot="1">
      <c r="A33" s="488" t="s">
        <v>453</v>
      </c>
      <c r="B33" s="616">
        <f>ROUND(M19*L6,2)</f>
        <v>0.21</v>
      </c>
      <c r="C33" s="617">
        <f>ROUND(M20*L6,2)</f>
        <v>0.43</v>
      </c>
      <c r="D33" s="617">
        <f>ROUND(M21*L6,2)</f>
        <v>0.43</v>
      </c>
      <c r="E33" s="617">
        <f>ROUND(M22*L6,2)</f>
        <v>0.86</v>
      </c>
      <c r="F33" s="617">
        <f>ROUND(M23*L6,2)</f>
        <v>1.71</v>
      </c>
      <c r="G33" s="617">
        <f>ROUND(M24*L6,2)</f>
        <v>0.43</v>
      </c>
      <c r="H33" s="617">
        <f>ROUND(M25*L6,2)</f>
        <v>0.21</v>
      </c>
      <c r="I33" s="617">
        <f>ROUND(M26*L6,2)</f>
        <v>0.43</v>
      </c>
      <c r="J33" s="618">
        <f>ROUND(M27*L6,2)</f>
        <v>1.29</v>
      </c>
      <c r="N33" s="465"/>
      <c r="O33" s="465"/>
    </row>
    <row r="34" spans="1:15">
      <c r="A34" s="489" t="s">
        <v>441</v>
      </c>
      <c r="B34" s="515">
        <v>0.8</v>
      </c>
      <c r="C34" s="490">
        <v>0.15</v>
      </c>
      <c r="D34" s="490">
        <v>0.15</v>
      </c>
      <c r="E34" s="490">
        <v>0.4</v>
      </c>
      <c r="F34" s="490">
        <v>0.4</v>
      </c>
      <c r="G34" s="490">
        <v>0.3</v>
      </c>
      <c r="H34" s="490">
        <v>0.3</v>
      </c>
      <c r="I34" s="490">
        <v>0.3</v>
      </c>
      <c r="J34" s="491">
        <f>F34*0.5</f>
        <v>0.2</v>
      </c>
      <c r="N34" s="480"/>
      <c r="O34"/>
    </row>
    <row r="35" spans="1:15">
      <c r="A35" s="492" t="s">
        <v>443</v>
      </c>
      <c r="B35" s="516">
        <v>0.5</v>
      </c>
      <c r="C35" s="493">
        <v>0.2</v>
      </c>
      <c r="D35" s="493">
        <v>0.2</v>
      </c>
      <c r="E35" s="493">
        <v>0.6</v>
      </c>
      <c r="F35" s="493">
        <v>0.55000000000000004</v>
      </c>
      <c r="G35" s="493">
        <f>IF(G20="",0,0.1)</f>
        <v>0</v>
      </c>
      <c r="H35" s="493">
        <f t="shared" ref="H35:I35" si="3">IF(H20="",0,0)</f>
        <v>0</v>
      </c>
      <c r="I35" s="493">
        <f t="shared" si="3"/>
        <v>0</v>
      </c>
      <c r="J35" s="494">
        <f t="shared" ref="J35" si="4">F35*0.5</f>
        <v>0.27500000000000002</v>
      </c>
      <c r="N35" s="480"/>
      <c r="O35"/>
    </row>
    <row r="36" spans="1:15">
      <c r="A36" s="492" t="s">
        <v>444</v>
      </c>
      <c r="B36" s="516">
        <v>0</v>
      </c>
      <c r="C36" s="516">
        <v>0</v>
      </c>
      <c r="D36" s="516">
        <v>0</v>
      </c>
      <c r="E36" s="516">
        <v>0</v>
      </c>
      <c r="F36" s="516">
        <v>0</v>
      </c>
      <c r="G36" s="516">
        <v>0</v>
      </c>
      <c r="H36" s="516">
        <v>0</v>
      </c>
      <c r="I36" s="516">
        <v>0</v>
      </c>
      <c r="J36" s="554">
        <v>0</v>
      </c>
      <c r="N36" s="480"/>
      <c r="O36"/>
    </row>
    <row r="37" spans="1:15">
      <c r="A37" s="492" t="s">
        <v>445</v>
      </c>
      <c r="B37" s="516">
        <f>IF(B22="",0,0)</f>
        <v>0</v>
      </c>
      <c r="C37" s="493">
        <v>0</v>
      </c>
      <c r="D37" s="493">
        <v>0</v>
      </c>
      <c r="E37" s="493">
        <v>0</v>
      </c>
      <c r="F37" s="493">
        <v>0</v>
      </c>
      <c r="G37" s="493">
        <v>0</v>
      </c>
      <c r="H37" s="493">
        <v>0</v>
      </c>
      <c r="I37" s="493">
        <v>0</v>
      </c>
      <c r="J37" s="494">
        <v>0</v>
      </c>
      <c r="N37" s="480"/>
      <c r="O37"/>
    </row>
    <row r="38" spans="1:15">
      <c r="A38" s="492" t="s">
        <v>446</v>
      </c>
      <c r="B38" s="516">
        <f t="shared" ref="B38:J38" si="5">IF(B23="",0,1)</f>
        <v>1</v>
      </c>
      <c r="C38" s="493">
        <f t="shared" si="5"/>
        <v>1</v>
      </c>
      <c r="D38" s="493">
        <f t="shared" si="5"/>
        <v>1</v>
      </c>
      <c r="E38" s="493">
        <f t="shared" si="5"/>
        <v>1</v>
      </c>
      <c r="F38" s="493">
        <f t="shared" si="5"/>
        <v>1</v>
      </c>
      <c r="G38" s="493">
        <f t="shared" si="5"/>
        <v>1</v>
      </c>
      <c r="H38" s="493">
        <f t="shared" si="5"/>
        <v>1</v>
      </c>
      <c r="I38" s="493">
        <f t="shared" si="5"/>
        <v>1</v>
      </c>
      <c r="J38" s="494">
        <f t="shared" si="5"/>
        <v>1</v>
      </c>
      <c r="N38" s="480"/>
      <c r="O38"/>
    </row>
    <row r="39" spans="1:15">
      <c r="A39" s="492" t="s">
        <v>447</v>
      </c>
      <c r="B39" s="516">
        <f t="shared" ref="B39:J43" si="6">IF(B24="",0,0)</f>
        <v>0</v>
      </c>
      <c r="C39" s="516">
        <f t="shared" si="6"/>
        <v>0</v>
      </c>
      <c r="D39" s="516">
        <f t="shared" si="6"/>
        <v>0</v>
      </c>
      <c r="E39" s="516">
        <f t="shared" si="6"/>
        <v>0</v>
      </c>
      <c r="F39" s="516">
        <f t="shared" si="6"/>
        <v>0</v>
      </c>
      <c r="G39" s="516">
        <f t="shared" si="6"/>
        <v>0</v>
      </c>
      <c r="H39" s="516">
        <f t="shared" si="6"/>
        <v>0</v>
      </c>
      <c r="I39" s="516">
        <f t="shared" si="6"/>
        <v>0</v>
      </c>
      <c r="J39" s="554">
        <f t="shared" si="6"/>
        <v>0</v>
      </c>
      <c r="N39" s="480"/>
      <c r="O39"/>
    </row>
    <row r="40" spans="1:15">
      <c r="A40" s="492" t="s">
        <v>448</v>
      </c>
      <c r="B40" s="516">
        <f t="shared" si="6"/>
        <v>0</v>
      </c>
      <c r="C40" s="493">
        <f t="shared" si="6"/>
        <v>0</v>
      </c>
      <c r="D40" s="493">
        <f t="shared" ref="D40" si="7">IF(D25="",0,0)</f>
        <v>0</v>
      </c>
      <c r="E40" s="493">
        <f>IF(E25="",0,0)</f>
        <v>0</v>
      </c>
      <c r="F40" s="493">
        <v>0.1</v>
      </c>
      <c r="G40" s="493">
        <f t="shared" ref="G40:I41" si="8">IF(G25="",0,0)</f>
        <v>0</v>
      </c>
      <c r="H40" s="493">
        <f t="shared" si="8"/>
        <v>0</v>
      </c>
      <c r="I40" s="493">
        <f t="shared" si="8"/>
        <v>0</v>
      </c>
      <c r="J40" s="494">
        <v>0.5</v>
      </c>
      <c r="N40" s="480"/>
      <c r="O40"/>
    </row>
    <row r="41" spans="1:15">
      <c r="A41" s="492" t="s">
        <v>449</v>
      </c>
      <c r="B41" s="516">
        <f t="shared" si="6"/>
        <v>0</v>
      </c>
      <c r="C41" s="493">
        <f t="shared" si="6"/>
        <v>0</v>
      </c>
      <c r="D41" s="493">
        <f t="shared" ref="D41" si="9">IF(D26="",0,0)</f>
        <v>0</v>
      </c>
      <c r="E41" s="493">
        <f>IF(E26="",0,0)</f>
        <v>0</v>
      </c>
      <c r="F41" s="493">
        <v>0.1</v>
      </c>
      <c r="G41" s="493">
        <f t="shared" si="8"/>
        <v>0</v>
      </c>
      <c r="H41" s="493">
        <f t="shared" si="8"/>
        <v>0</v>
      </c>
      <c r="I41" s="493">
        <f t="shared" si="8"/>
        <v>0</v>
      </c>
      <c r="J41" s="494">
        <v>0.5</v>
      </c>
      <c r="N41" s="480"/>
      <c r="O41"/>
    </row>
    <row r="42" spans="1:15">
      <c r="A42" s="492" t="s">
        <v>450</v>
      </c>
      <c r="B42" s="516">
        <f t="shared" si="6"/>
        <v>0</v>
      </c>
      <c r="C42" s="516">
        <f t="shared" si="6"/>
        <v>0</v>
      </c>
      <c r="D42" s="516">
        <f t="shared" si="6"/>
        <v>0</v>
      </c>
      <c r="E42" s="516">
        <f t="shared" si="6"/>
        <v>0</v>
      </c>
      <c r="F42" s="516">
        <f t="shared" si="6"/>
        <v>0</v>
      </c>
      <c r="G42" s="516">
        <f t="shared" si="6"/>
        <v>0</v>
      </c>
      <c r="H42" s="516">
        <f t="shared" si="6"/>
        <v>0</v>
      </c>
      <c r="I42" s="516">
        <f t="shared" si="6"/>
        <v>0</v>
      </c>
      <c r="J42" s="554">
        <f t="shared" si="6"/>
        <v>0</v>
      </c>
      <c r="N42" s="480"/>
      <c r="O42"/>
    </row>
    <row r="43" spans="1:15">
      <c r="A43" s="492" t="s">
        <v>451</v>
      </c>
      <c r="B43" s="516">
        <f t="shared" si="6"/>
        <v>0</v>
      </c>
      <c r="C43" s="493">
        <f t="shared" si="6"/>
        <v>0</v>
      </c>
      <c r="D43" s="493">
        <f t="shared" ref="D43" si="10">IF(D28="",0,0)</f>
        <v>0</v>
      </c>
      <c r="E43" s="493">
        <f t="shared" ref="E43:G44" si="11">IF(E28="",0,0)</f>
        <v>0</v>
      </c>
      <c r="F43" s="493">
        <f t="shared" si="11"/>
        <v>0</v>
      </c>
      <c r="G43" s="493">
        <f t="shared" si="11"/>
        <v>0</v>
      </c>
      <c r="H43" s="493">
        <f>IF(H28="",0,1)</f>
        <v>1</v>
      </c>
      <c r="I43" s="493">
        <f>IF(I28="",0,1)</f>
        <v>1</v>
      </c>
      <c r="J43" s="494">
        <f>IF(J28="",0,0)</f>
        <v>0</v>
      </c>
    </row>
    <row r="44" spans="1:15" ht="16.149999999999999" thickBot="1">
      <c r="A44" s="495" t="s">
        <v>452</v>
      </c>
      <c r="B44" s="517">
        <f>IF(B29="",0,1)</f>
        <v>0</v>
      </c>
      <c r="C44" s="496">
        <f>IF(C29="",0,1)</f>
        <v>0</v>
      </c>
      <c r="D44" s="496">
        <f>IF(D29="",0,1)</f>
        <v>0</v>
      </c>
      <c r="E44" s="496">
        <f t="shared" si="11"/>
        <v>0</v>
      </c>
      <c r="F44" s="496">
        <f t="shared" si="11"/>
        <v>0</v>
      </c>
      <c r="G44" s="496">
        <f t="shared" si="11"/>
        <v>0</v>
      </c>
      <c r="H44" s="496">
        <f>IF(H29="",0,0)</f>
        <v>0</v>
      </c>
      <c r="I44" s="496">
        <f>IF(I29="",0,0)</f>
        <v>0</v>
      </c>
      <c r="J44" s="521">
        <f>IF(J29="",0,0)</f>
        <v>0</v>
      </c>
    </row>
  </sheetData>
  <mergeCells count="10">
    <mergeCell ref="B1:M3"/>
    <mergeCell ref="A16:M16"/>
    <mergeCell ref="K17:M17"/>
    <mergeCell ref="A8:B8"/>
    <mergeCell ref="A7:B7"/>
    <mergeCell ref="L7:L8"/>
    <mergeCell ref="A9:A11"/>
    <mergeCell ref="A12:A14"/>
    <mergeCell ref="B17:J17"/>
    <mergeCell ref="A17:A18"/>
  </mergeCells>
  <conditionalFormatting sqref="B19:J30">
    <cfRule type="cellIs" dxfId="0" priority="2" operator="greaterThan">
      <formula>0</formula>
    </cfRule>
  </conditionalFormatting>
  <printOptions horizontalCentered="1"/>
  <pageMargins left="0.51181102362204722" right="0.51181102362204722" top="0.78740157480314965" bottom="0.78740157480314965" header="0.31496062992125984" footer="0.31496062992125984"/>
  <pageSetup paperSize="9" scale="63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EDBEF-9266-4761-8110-D6A75C7D9DAF}">
  <sheetPr>
    <tabColor theme="8" tint="-0.249977111117893"/>
  </sheetPr>
  <dimension ref="A1:D98"/>
  <sheetViews>
    <sheetView workbookViewId="0">
      <selection activeCell="L39" sqref="L39"/>
    </sheetView>
  </sheetViews>
  <sheetFormatPr defaultRowHeight="13.15"/>
  <sheetData>
    <row r="1" spans="1:4">
      <c r="A1" t="s">
        <v>454</v>
      </c>
      <c r="B1" t="s">
        <v>455</v>
      </c>
      <c r="C1" t="s">
        <v>382</v>
      </c>
      <c r="D1">
        <v>4222.1400000000003</v>
      </c>
    </row>
    <row r="2" spans="1:4">
      <c r="A2" t="s">
        <v>456</v>
      </c>
      <c r="B2" t="s">
        <v>457</v>
      </c>
      <c r="C2" t="s">
        <v>382</v>
      </c>
      <c r="D2">
        <v>5629.52</v>
      </c>
    </row>
    <row r="3" spans="1:4">
      <c r="A3" t="s">
        <v>458</v>
      </c>
      <c r="B3" t="s">
        <v>459</v>
      </c>
      <c r="C3" t="s">
        <v>382</v>
      </c>
      <c r="D3">
        <v>9740.8700000000008</v>
      </c>
    </row>
    <row r="4" spans="1:4">
      <c r="A4" t="s">
        <v>460</v>
      </c>
      <c r="B4" t="s">
        <v>461</v>
      </c>
      <c r="C4" t="s">
        <v>382</v>
      </c>
      <c r="D4">
        <v>3731.91</v>
      </c>
    </row>
    <row r="5" spans="1:4">
      <c r="A5" t="s">
        <v>462</v>
      </c>
      <c r="B5" t="s">
        <v>463</v>
      </c>
      <c r="C5" t="s">
        <v>382</v>
      </c>
      <c r="D5">
        <v>4975.88</v>
      </c>
    </row>
    <row r="6" spans="1:4">
      <c r="A6" t="s">
        <v>464</v>
      </c>
      <c r="B6" t="s">
        <v>465</v>
      </c>
      <c r="C6" t="s">
        <v>382</v>
      </c>
      <c r="D6">
        <v>8853.75</v>
      </c>
    </row>
    <row r="7" spans="1:4">
      <c r="A7" t="s">
        <v>466</v>
      </c>
      <c r="B7" t="s">
        <v>467</v>
      </c>
      <c r="C7" t="s">
        <v>382</v>
      </c>
      <c r="D7">
        <v>11067</v>
      </c>
    </row>
    <row r="8" spans="1:4">
      <c r="A8" t="s">
        <v>468</v>
      </c>
      <c r="B8" t="s">
        <v>469</v>
      </c>
      <c r="C8" t="s">
        <v>382</v>
      </c>
      <c r="D8">
        <v>11492.2</v>
      </c>
    </row>
    <row r="9" spans="1:4">
      <c r="A9" t="s">
        <v>470</v>
      </c>
      <c r="B9" t="s">
        <v>471</v>
      </c>
      <c r="C9" t="s">
        <v>382</v>
      </c>
      <c r="D9">
        <v>14185.72</v>
      </c>
    </row>
    <row r="10" spans="1:4">
      <c r="A10" t="s">
        <v>472</v>
      </c>
      <c r="B10" t="s">
        <v>473</v>
      </c>
      <c r="C10" t="s">
        <v>382</v>
      </c>
      <c r="D10">
        <v>2867.66</v>
      </c>
    </row>
    <row r="11" spans="1:4">
      <c r="A11" t="s">
        <v>474</v>
      </c>
      <c r="B11" t="s">
        <v>475</v>
      </c>
      <c r="C11" t="s">
        <v>382</v>
      </c>
      <c r="D11">
        <v>3823.55</v>
      </c>
    </row>
    <row r="12" spans="1:4">
      <c r="A12" t="s">
        <v>476</v>
      </c>
      <c r="B12" t="s">
        <v>477</v>
      </c>
      <c r="C12" t="s">
        <v>382</v>
      </c>
      <c r="D12">
        <v>6517.04</v>
      </c>
    </row>
    <row r="13" spans="1:4">
      <c r="A13" t="s">
        <v>478</v>
      </c>
      <c r="B13" t="s">
        <v>479</v>
      </c>
      <c r="C13" t="s">
        <v>382</v>
      </c>
      <c r="D13">
        <v>1428.53</v>
      </c>
    </row>
    <row r="14" spans="1:4">
      <c r="A14" t="s">
        <v>363</v>
      </c>
      <c r="B14" t="s">
        <v>480</v>
      </c>
      <c r="C14" t="s">
        <v>382</v>
      </c>
      <c r="D14">
        <v>1708.51</v>
      </c>
    </row>
    <row r="15" spans="1:4">
      <c r="A15" t="s">
        <v>481</v>
      </c>
      <c r="B15" t="s">
        <v>482</v>
      </c>
      <c r="C15" t="s">
        <v>382</v>
      </c>
      <c r="D15">
        <v>1609.67</v>
      </c>
    </row>
    <row r="16" spans="1:4">
      <c r="A16" t="s">
        <v>483</v>
      </c>
      <c r="B16" t="s">
        <v>484</v>
      </c>
      <c r="C16" t="s">
        <v>382</v>
      </c>
      <c r="D16">
        <v>1428.53</v>
      </c>
    </row>
    <row r="17" spans="1:4">
      <c r="A17" t="s">
        <v>485</v>
      </c>
      <c r="B17" t="s">
        <v>486</v>
      </c>
      <c r="C17" t="s">
        <v>382</v>
      </c>
      <c r="D17">
        <v>3084.04</v>
      </c>
    </row>
    <row r="18" spans="1:4">
      <c r="A18" t="s">
        <v>487</v>
      </c>
      <c r="B18" t="s">
        <v>488</v>
      </c>
      <c r="C18" t="s">
        <v>382</v>
      </c>
      <c r="D18">
        <v>4112.0600000000004</v>
      </c>
    </row>
    <row r="19" spans="1:4">
      <c r="A19" t="s">
        <v>489</v>
      </c>
      <c r="B19" t="s">
        <v>490</v>
      </c>
      <c r="C19" t="s">
        <v>382</v>
      </c>
      <c r="D19">
        <v>7148.83</v>
      </c>
    </row>
    <row r="20" spans="1:4">
      <c r="A20" t="s">
        <v>491</v>
      </c>
      <c r="B20" t="s">
        <v>492</v>
      </c>
      <c r="C20" t="s">
        <v>382</v>
      </c>
      <c r="D20">
        <v>3122.68</v>
      </c>
    </row>
    <row r="21" spans="1:4">
      <c r="A21" t="s">
        <v>493</v>
      </c>
      <c r="B21" t="s">
        <v>494</v>
      </c>
      <c r="C21" t="s">
        <v>382</v>
      </c>
      <c r="D21">
        <v>3909.36</v>
      </c>
    </row>
    <row r="22" spans="1:4">
      <c r="A22" t="s">
        <v>495</v>
      </c>
      <c r="B22" t="s">
        <v>496</v>
      </c>
      <c r="C22" t="s">
        <v>382</v>
      </c>
      <c r="D22">
        <v>5212.47</v>
      </c>
    </row>
    <row r="23" spans="1:4">
      <c r="A23" t="s">
        <v>497</v>
      </c>
      <c r="B23" t="s">
        <v>498</v>
      </c>
      <c r="C23" t="s">
        <v>382</v>
      </c>
      <c r="D23">
        <v>9737.02</v>
      </c>
    </row>
    <row r="24" spans="1:4">
      <c r="A24" t="s">
        <v>499</v>
      </c>
      <c r="B24" t="s">
        <v>500</v>
      </c>
      <c r="C24" t="s">
        <v>382</v>
      </c>
      <c r="D24">
        <v>15552.43</v>
      </c>
    </row>
    <row r="25" spans="1:4">
      <c r="A25" t="s">
        <v>501</v>
      </c>
      <c r="B25" t="s">
        <v>502</v>
      </c>
      <c r="C25" t="s">
        <v>382</v>
      </c>
      <c r="D25">
        <v>4306.55</v>
      </c>
    </row>
    <row r="26" spans="1:4">
      <c r="A26" t="s">
        <v>503</v>
      </c>
      <c r="B26" t="s">
        <v>504</v>
      </c>
      <c r="C26" t="s">
        <v>382</v>
      </c>
      <c r="D26">
        <v>5742.07</v>
      </c>
    </row>
    <row r="27" spans="1:4">
      <c r="A27" t="s">
        <v>505</v>
      </c>
      <c r="B27" t="s">
        <v>506</v>
      </c>
      <c r="C27" t="s">
        <v>382</v>
      </c>
      <c r="D27">
        <v>9853.56</v>
      </c>
    </row>
    <row r="28" spans="1:4">
      <c r="A28" t="s">
        <v>507</v>
      </c>
      <c r="B28" t="s">
        <v>508</v>
      </c>
      <c r="C28" t="s">
        <v>382</v>
      </c>
      <c r="D28">
        <v>11067</v>
      </c>
    </row>
    <row r="29" spans="1:4">
      <c r="A29" t="s">
        <v>509</v>
      </c>
      <c r="B29" t="s">
        <v>510</v>
      </c>
      <c r="C29" t="s">
        <v>382</v>
      </c>
      <c r="D29">
        <v>12027.17</v>
      </c>
    </row>
    <row r="30" spans="1:4">
      <c r="A30" t="s">
        <v>511</v>
      </c>
      <c r="B30" t="s">
        <v>512</v>
      </c>
      <c r="C30" t="s">
        <v>382</v>
      </c>
      <c r="D30">
        <v>12987.35</v>
      </c>
    </row>
    <row r="31" spans="1:4">
      <c r="A31" t="s">
        <v>513</v>
      </c>
      <c r="B31" t="s">
        <v>514</v>
      </c>
      <c r="C31" t="s">
        <v>382</v>
      </c>
      <c r="D31">
        <v>11067</v>
      </c>
    </row>
    <row r="32" spans="1:4">
      <c r="A32" t="s">
        <v>515</v>
      </c>
      <c r="B32" t="s">
        <v>516</v>
      </c>
      <c r="C32" t="s">
        <v>382</v>
      </c>
      <c r="D32">
        <v>11113.77</v>
      </c>
    </row>
    <row r="33" spans="1:4">
      <c r="A33" t="s">
        <v>370</v>
      </c>
      <c r="B33" t="s">
        <v>517</v>
      </c>
      <c r="C33" t="s">
        <v>382</v>
      </c>
      <c r="D33">
        <v>13306.5</v>
      </c>
    </row>
    <row r="34" spans="1:4">
      <c r="A34" t="s">
        <v>518</v>
      </c>
      <c r="B34" t="s">
        <v>519</v>
      </c>
      <c r="C34" t="s">
        <v>382</v>
      </c>
      <c r="D34">
        <v>20421.759999999998</v>
      </c>
    </row>
    <row r="35" spans="1:4">
      <c r="A35" t="s">
        <v>354</v>
      </c>
      <c r="B35" t="s">
        <v>520</v>
      </c>
      <c r="C35" t="s">
        <v>382</v>
      </c>
      <c r="D35">
        <v>17018.13</v>
      </c>
    </row>
    <row r="36" spans="1:4">
      <c r="A36" t="s">
        <v>521</v>
      </c>
      <c r="B36" t="s">
        <v>522</v>
      </c>
      <c r="C36" t="s">
        <v>382</v>
      </c>
      <c r="D36">
        <v>11067</v>
      </c>
    </row>
    <row r="37" spans="1:4">
      <c r="A37" t="s">
        <v>523</v>
      </c>
      <c r="B37" t="s">
        <v>524</v>
      </c>
      <c r="C37" t="s">
        <v>382</v>
      </c>
      <c r="D37">
        <v>11199.09</v>
      </c>
    </row>
    <row r="38" spans="1:4">
      <c r="A38" t="s">
        <v>525</v>
      </c>
      <c r="B38" t="s">
        <v>526</v>
      </c>
      <c r="C38" t="s">
        <v>382</v>
      </c>
      <c r="D38">
        <v>12672.11</v>
      </c>
    </row>
    <row r="39" spans="1:4">
      <c r="A39" t="s">
        <v>527</v>
      </c>
      <c r="B39" t="s">
        <v>528</v>
      </c>
      <c r="C39" t="s">
        <v>382</v>
      </c>
      <c r="D39">
        <v>11067</v>
      </c>
    </row>
    <row r="40" spans="1:4">
      <c r="A40" t="s">
        <v>360</v>
      </c>
      <c r="B40" t="s">
        <v>529</v>
      </c>
      <c r="C40" t="s">
        <v>382</v>
      </c>
      <c r="D40">
        <v>11469.24</v>
      </c>
    </row>
    <row r="41" spans="1:4">
      <c r="A41" t="s">
        <v>367</v>
      </c>
      <c r="B41" t="s">
        <v>530</v>
      </c>
      <c r="C41" t="s">
        <v>382</v>
      </c>
      <c r="D41">
        <v>14672.91</v>
      </c>
    </row>
    <row r="42" spans="1:4">
      <c r="A42" t="s">
        <v>531</v>
      </c>
      <c r="B42" t="s">
        <v>532</v>
      </c>
      <c r="C42" t="s">
        <v>382</v>
      </c>
      <c r="D42">
        <v>11067</v>
      </c>
    </row>
    <row r="43" spans="1:4">
      <c r="A43" t="s">
        <v>533</v>
      </c>
      <c r="B43" t="s">
        <v>534</v>
      </c>
      <c r="C43" t="s">
        <v>382</v>
      </c>
      <c r="D43">
        <v>11199.11</v>
      </c>
    </row>
    <row r="44" spans="1:4">
      <c r="A44" t="s">
        <v>535</v>
      </c>
      <c r="B44" t="s">
        <v>536</v>
      </c>
      <c r="C44" t="s">
        <v>382</v>
      </c>
      <c r="D44">
        <v>12672.11</v>
      </c>
    </row>
    <row r="45" spans="1:4">
      <c r="A45" t="s">
        <v>537</v>
      </c>
      <c r="B45" t="s">
        <v>538</v>
      </c>
      <c r="C45" t="s">
        <v>382</v>
      </c>
      <c r="D45">
        <v>10004.5</v>
      </c>
    </row>
    <row r="46" spans="1:4">
      <c r="A46" t="s">
        <v>539</v>
      </c>
      <c r="B46" t="s">
        <v>540</v>
      </c>
      <c r="C46" t="s">
        <v>382</v>
      </c>
      <c r="D46">
        <v>10526.36</v>
      </c>
    </row>
    <row r="47" spans="1:4">
      <c r="A47" t="s">
        <v>541</v>
      </c>
      <c r="B47" t="s">
        <v>542</v>
      </c>
      <c r="C47" t="s">
        <v>382</v>
      </c>
      <c r="D47">
        <v>14001.61</v>
      </c>
    </row>
    <row r="48" spans="1:4">
      <c r="A48" t="s">
        <v>543</v>
      </c>
      <c r="B48" t="s">
        <v>544</v>
      </c>
      <c r="C48" t="s">
        <v>382</v>
      </c>
      <c r="D48">
        <v>2682.71</v>
      </c>
    </row>
    <row r="49" spans="1:4">
      <c r="A49" t="s">
        <v>545</v>
      </c>
      <c r="B49" t="s">
        <v>546</v>
      </c>
      <c r="C49" t="s">
        <v>382</v>
      </c>
      <c r="D49">
        <v>3576.94</v>
      </c>
    </row>
    <row r="50" spans="1:4">
      <c r="A50" t="s">
        <v>547</v>
      </c>
      <c r="B50" t="s">
        <v>548</v>
      </c>
      <c r="C50" t="s">
        <v>382</v>
      </c>
      <c r="D50">
        <v>6931.43</v>
      </c>
    </row>
    <row r="51" spans="1:4">
      <c r="A51" t="s">
        <v>549</v>
      </c>
      <c r="B51" t="s">
        <v>550</v>
      </c>
      <c r="C51" t="s">
        <v>382</v>
      </c>
      <c r="D51">
        <v>2146.23</v>
      </c>
    </row>
    <row r="52" spans="1:4">
      <c r="A52" t="s">
        <v>551</v>
      </c>
      <c r="B52" t="s">
        <v>552</v>
      </c>
      <c r="C52" t="s">
        <v>382</v>
      </c>
      <c r="D52">
        <v>11067</v>
      </c>
    </row>
    <row r="53" spans="1:4">
      <c r="A53" t="s">
        <v>553</v>
      </c>
      <c r="B53" t="s">
        <v>554</v>
      </c>
      <c r="C53" t="s">
        <v>382</v>
      </c>
      <c r="D53">
        <v>4696.66</v>
      </c>
    </row>
    <row r="54" spans="1:4">
      <c r="A54" t="s">
        <v>555</v>
      </c>
      <c r="B54" t="s">
        <v>556</v>
      </c>
      <c r="C54" t="s">
        <v>382</v>
      </c>
      <c r="D54">
        <v>6262.21</v>
      </c>
    </row>
    <row r="55" spans="1:4">
      <c r="A55" t="s">
        <v>557</v>
      </c>
      <c r="B55" t="s">
        <v>558</v>
      </c>
      <c r="C55" t="s">
        <v>382</v>
      </c>
      <c r="D55">
        <v>10569.08</v>
      </c>
    </row>
    <row r="56" spans="1:4">
      <c r="A56" t="s">
        <v>559</v>
      </c>
      <c r="B56" t="s">
        <v>560</v>
      </c>
      <c r="C56" t="s">
        <v>382</v>
      </c>
      <c r="D56">
        <v>2096.81</v>
      </c>
    </row>
    <row r="57" spans="1:4">
      <c r="A57" t="s">
        <v>561</v>
      </c>
      <c r="B57" t="s">
        <v>562</v>
      </c>
      <c r="C57" t="s">
        <v>382</v>
      </c>
      <c r="D57">
        <v>1918.44</v>
      </c>
    </row>
    <row r="58" spans="1:4">
      <c r="A58" t="s">
        <v>563</v>
      </c>
      <c r="B58" t="s">
        <v>564</v>
      </c>
      <c r="C58" t="s">
        <v>382</v>
      </c>
      <c r="D58">
        <v>4509.57</v>
      </c>
    </row>
    <row r="59" spans="1:4">
      <c r="A59" t="s">
        <v>565</v>
      </c>
      <c r="B59" t="s">
        <v>566</v>
      </c>
      <c r="C59" t="s">
        <v>382</v>
      </c>
      <c r="D59">
        <v>6012.77</v>
      </c>
    </row>
    <row r="60" spans="1:4">
      <c r="A60" t="s">
        <v>567</v>
      </c>
      <c r="B60" t="s">
        <v>568</v>
      </c>
      <c r="C60" t="s">
        <v>382</v>
      </c>
      <c r="D60">
        <v>9797.51</v>
      </c>
    </row>
    <row r="61" spans="1:4">
      <c r="A61" t="s">
        <v>569</v>
      </c>
      <c r="B61" t="s">
        <v>570</v>
      </c>
      <c r="C61" t="s">
        <v>382</v>
      </c>
      <c r="D61">
        <v>2605.46</v>
      </c>
    </row>
    <row r="62" spans="1:4">
      <c r="A62" t="s">
        <v>571</v>
      </c>
      <c r="B62" t="s">
        <v>572</v>
      </c>
      <c r="C62" t="s">
        <v>382</v>
      </c>
      <c r="D62">
        <v>3473.94</v>
      </c>
    </row>
    <row r="63" spans="1:4">
      <c r="A63" t="s">
        <v>573</v>
      </c>
      <c r="B63" t="s">
        <v>574</v>
      </c>
      <c r="C63" t="s">
        <v>382</v>
      </c>
      <c r="D63">
        <v>5794.12</v>
      </c>
    </row>
    <row r="64" spans="1:4">
      <c r="A64" t="s">
        <v>575</v>
      </c>
      <c r="B64" t="s">
        <v>576</v>
      </c>
      <c r="C64" t="s">
        <v>382</v>
      </c>
      <c r="D64">
        <v>2335.81</v>
      </c>
    </row>
    <row r="65" spans="1:4">
      <c r="A65" t="s">
        <v>577</v>
      </c>
      <c r="B65" t="s">
        <v>578</v>
      </c>
      <c r="C65" t="s">
        <v>382</v>
      </c>
      <c r="D65">
        <v>1843.72</v>
      </c>
    </row>
    <row r="66" spans="1:4">
      <c r="A66" t="s">
        <v>579</v>
      </c>
      <c r="B66" t="s">
        <v>580</v>
      </c>
      <c r="C66" t="s">
        <v>382</v>
      </c>
      <c r="D66">
        <v>2751.31</v>
      </c>
    </row>
    <row r="67" spans="1:4">
      <c r="A67" t="s">
        <v>581</v>
      </c>
      <c r="B67" t="s">
        <v>582</v>
      </c>
      <c r="C67" t="s">
        <v>382</v>
      </c>
      <c r="D67">
        <v>3091.07</v>
      </c>
    </row>
    <row r="68" spans="1:4">
      <c r="A68" t="s">
        <v>583</v>
      </c>
      <c r="B68" t="s">
        <v>584</v>
      </c>
      <c r="C68" t="s">
        <v>382</v>
      </c>
      <c r="D68">
        <v>4293.3999999999996</v>
      </c>
    </row>
    <row r="69" spans="1:4">
      <c r="A69" t="s">
        <v>585</v>
      </c>
      <c r="B69" t="s">
        <v>586</v>
      </c>
      <c r="C69" t="s">
        <v>382</v>
      </c>
      <c r="D69">
        <v>2522.7600000000002</v>
      </c>
    </row>
    <row r="70" spans="1:4">
      <c r="A70" t="s">
        <v>587</v>
      </c>
      <c r="B70" t="s">
        <v>588</v>
      </c>
      <c r="C70" t="s">
        <v>382</v>
      </c>
      <c r="D70">
        <v>3610.93</v>
      </c>
    </row>
    <row r="71" spans="1:4">
      <c r="A71" t="s">
        <v>589</v>
      </c>
      <c r="B71" t="s">
        <v>590</v>
      </c>
      <c r="C71" t="s">
        <v>382</v>
      </c>
      <c r="D71">
        <v>2323.3000000000002</v>
      </c>
    </row>
    <row r="72" spans="1:4">
      <c r="A72" t="s">
        <v>591</v>
      </c>
      <c r="B72" t="s">
        <v>592</v>
      </c>
      <c r="C72" t="s">
        <v>382</v>
      </c>
      <c r="D72">
        <v>2018.26</v>
      </c>
    </row>
    <row r="73" spans="1:4">
      <c r="A73" t="s">
        <v>593</v>
      </c>
      <c r="B73" t="s">
        <v>594</v>
      </c>
      <c r="C73" t="s">
        <v>382</v>
      </c>
      <c r="D73">
        <v>2691.02</v>
      </c>
    </row>
    <row r="74" spans="1:4">
      <c r="A74" t="s">
        <v>595</v>
      </c>
      <c r="B74" t="s">
        <v>596</v>
      </c>
      <c r="C74" t="s">
        <v>382</v>
      </c>
      <c r="D74">
        <v>4219.38</v>
      </c>
    </row>
    <row r="75" spans="1:4">
      <c r="A75" t="s">
        <v>597</v>
      </c>
      <c r="B75" t="s">
        <v>598</v>
      </c>
      <c r="C75" t="s">
        <v>382</v>
      </c>
      <c r="D75">
        <v>3097.97</v>
      </c>
    </row>
    <row r="76" spans="1:4">
      <c r="A76" t="s">
        <v>599</v>
      </c>
      <c r="B76" t="s">
        <v>600</v>
      </c>
      <c r="C76" t="s">
        <v>382</v>
      </c>
      <c r="D76">
        <v>4130.62</v>
      </c>
    </row>
    <row r="77" spans="1:4">
      <c r="A77" t="s">
        <v>601</v>
      </c>
      <c r="B77" t="s">
        <v>602</v>
      </c>
      <c r="C77" t="s">
        <v>382</v>
      </c>
      <c r="D77">
        <v>7233.66</v>
      </c>
    </row>
    <row r="78" spans="1:4">
      <c r="A78" t="s">
        <v>603</v>
      </c>
      <c r="B78" t="s">
        <v>604</v>
      </c>
      <c r="C78" t="s">
        <v>382</v>
      </c>
      <c r="D78">
        <v>11067</v>
      </c>
    </row>
    <row r="79" spans="1:4">
      <c r="A79" t="s">
        <v>605</v>
      </c>
      <c r="B79" t="s">
        <v>606</v>
      </c>
      <c r="C79" t="s">
        <v>382</v>
      </c>
      <c r="D79">
        <v>11198.11</v>
      </c>
    </row>
    <row r="80" spans="1:4">
      <c r="A80" t="s">
        <v>607</v>
      </c>
      <c r="B80" t="s">
        <v>608</v>
      </c>
      <c r="C80" t="s">
        <v>382</v>
      </c>
      <c r="D80">
        <v>12047.23</v>
      </c>
    </row>
    <row r="81" spans="1:4">
      <c r="A81" t="s">
        <v>609</v>
      </c>
      <c r="B81" t="s">
        <v>610</v>
      </c>
      <c r="C81" t="s">
        <v>382</v>
      </c>
      <c r="D81">
        <v>3351.22</v>
      </c>
    </row>
    <row r="82" spans="1:4">
      <c r="A82" t="s">
        <v>611</v>
      </c>
      <c r="B82" t="s">
        <v>612</v>
      </c>
      <c r="C82" t="s">
        <v>382</v>
      </c>
      <c r="D82">
        <v>4468.29</v>
      </c>
    </row>
    <row r="83" spans="1:4">
      <c r="A83" t="s">
        <v>613</v>
      </c>
      <c r="B83" t="s">
        <v>614</v>
      </c>
      <c r="C83" t="s">
        <v>382</v>
      </c>
      <c r="D83">
        <v>8514.33</v>
      </c>
    </row>
    <row r="84" spans="1:4">
      <c r="A84" t="s">
        <v>615</v>
      </c>
      <c r="B84" t="s">
        <v>616</v>
      </c>
      <c r="C84" t="s">
        <v>382</v>
      </c>
      <c r="D84">
        <v>3165.46</v>
      </c>
    </row>
    <row r="85" spans="1:4">
      <c r="A85" t="s">
        <v>617</v>
      </c>
      <c r="B85" t="s">
        <v>618</v>
      </c>
      <c r="C85" t="s">
        <v>382</v>
      </c>
      <c r="D85">
        <v>4220.6099999999997</v>
      </c>
    </row>
    <row r="86" spans="1:4">
      <c r="A86" t="s">
        <v>619</v>
      </c>
      <c r="B86" t="s">
        <v>620</v>
      </c>
      <c r="C86" t="s">
        <v>382</v>
      </c>
      <c r="D86">
        <v>6078.95</v>
      </c>
    </row>
    <row r="87" spans="1:4">
      <c r="A87" t="s">
        <v>621</v>
      </c>
      <c r="B87" t="s">
        <v>622</v>
      </c>
      <c r="C87" t="s">
        <v>382</v>
      </c>
      <c r="D87">
        <v>3085.16</v>
      </c>
    </row>
    <row r="88" spans="1:4">
      <c r="A88" t="s">
        <v>623</v>
      </c>
      <c r="B88" t="s">
        <v>624</v>
      </c>
      <c r="C88" t="s">
        <v>382</v>
      </c>
      <c r="D88">
        <v>4113.55</v>
      </c>
    </row>
    <row r="89" spans="1:4">
      <c r="A89" t="s">
        <v>625</v>
      </c>
      <c r="B89" t="s">
        <v>626</v>
      </c>
      <c r="C89" t="s">
        <v>382</v>
      </c>
      <c r="D89">
        <v>5832.14</v>
      </c>
    </row>
    <row r="90" spans="1:4">
      <c r="A90" t="s">
        <v>627</v>
      </c>
      <c r="B90" t="s">
        <v>628</v>
      </c>
      <c r="C90" t="s">
        <v>382</v>
      </c>
      <c r="D90">
        <v>3325.64</v>
      </c>
    </row>
    <row r="91" spans="1:4">
      <c r="A91" t="s">
        <v>629</v>
      </c>
      <c r="B91" t="s">
        <v>630</v>
      </c>
      <c r="C91" t="s">
        <v>382</v>
      </c>
      <c r="D91">
        <v>4434.18</v>
      </c>
    </row>
    <row r="92" spans="1:4">
      <c r="A92" t="s">
        <v>631</v>
      </c>
      <c r="B92" t="s">
        <v>632</v>
      </c>
      <c r="C92" t="s">
        <v>382</v>
      </c>
      <c r="D92">
        <v>7403.84</v>
      </c>
    </row>
    <row r="93" spans="1:4">
      <c r="A93" t="s">
        <v>633</v>
      </c>
      <c r="B93" t="s">
        <v>634</v>
      </c>
      <c r="C93" t="s">
        <v>382</v>
      </c>
      <c r="D93">
        <v>3141.84</v>
      </c>
    </row>
    <row r="94" spans="1:4">
      <c r="A94" t="s">
        <v>635</v>
      </c>
      <c r="B94" t="s">
        <v>636</v>
      </c>
      <c r="C94" t="s">
        <v>382</v>
      </c>
      <c r="D94">
        <v>4189.13</v>
      </c>
    </row>
    <row r="95" spans="1:4">
      <c r="A95" t="s">
        <v>637</v>
      </c>
      <c r="B95" t="s">
        <v>638</v>
      </c>
      <c r="C95" t="s">
        <v>382</v>
      </c>
      <c r="D95">
        <v>6069.84</v>
      </c>
    </row>
    <row r="96" spans="1:4">
      <c r="A96" t="s">
        <v>639</v>
      </c>
      <c r="B96" t="s">
        <v>640</v>
      </c>
      <c r="C96" t="s">
        <v>382</v>
      </c>
      <c r="D96">
        <v>3782.76</v>
      </c>
    </row>
    <row r="97" spans="1:4">
      <c r="A97" t="s">
        <v>641</v>
      </c>
      <c r="B97" t="s">
        <v>642</v>
      </c>
      <c r="C97" t="s">
        <v>382</v>
      </c>
      <c r="D97">
        <v>5043.67</v>
      </c>
    </row>
    <row r="98" spans="1:4">
      <c r="A98" t="s">
        <v>643</v>
      </c>
      <c r="B98" t="s">
        <v>644</v>
      </c>
      <c r="C98" t="s">
        <v>382</v>
      </c>
      <c r="D98">
        <v>7915.13</v>
      </c>
    </row>
  </sheetData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8" tint="-0.249977111117893"/>
    <pageSetUpPr fitToPage="1"/>
  </sheetPr>
  <dimension ref="A1:S21"/>
  <sheetViews>
    <sheetView showGridLines="0" view="pageBreakPreview" topLeftCell="A8" zoomScale="80" zoomScaleNormal="80" zoomScaleSheetLayoutView="80" workbookViewId="0">
      <selection activeCell="K9" sqref="K9"/>
    </sheetView>
  </sheetViews>
  <sheetFormatPr defaultColWidth="9.140625" defaultRowHeight="15.6"/>
  <cols>
    <col min="1" max="1" width="17.7109375" style="179" customWidth="1"/>
    <col min="2" max="2" width="37.42578125" style="179" customWidth="1"/>
    <col min="3" max="3" width="8.7109375" style="179" bestFit="1" customWidth="1"/>
    <col min="4" max="4" width="12.28515625" style="179" bestFit="1" customWidth="1"/>
    <col min="5" max="5" width="8.7109375" style="179" bestFit="1" customWidth="1"/>
    <col min="6" max="6" width="10.42578125" style="179" bestFit="1" customWidth="1"/>
    <col min="7" max="7" width="7.42578125" style="179" bestFit="1" customWidth="1"/>
    <col min="8" max="8" width="11.7109375" style="179" bestFit="1" customWidth="1"/>
    <col min="9" max="9" width="9.85546875" style="179" bestFit="1" customWidth="1"/>
    <col min="10" max="10" width="9.28515625" style="179" bestFit="1" customWidth="1"/>
    <col min="11" max="11" width="6.7109375" style="179" bestFit="1" customWidth="1"/>
    <col min="12" max="12" width="11.5703125" style="179" bestFit="1" customWidth="1"/>
    <col min="13" max="13" width="3.42578125" style="179" customWidth="1"/>
    <col min="14" max="18" width="3.85546875" style="179" customWidth="1"/>
    <col min="19" max="16384" width="9.140625" style="179"/>
  </cols>
  <sheetData>
    <row r="1" spans="1:19" ht="20.25" customHeight="1">
      <c r="A1" s="56"/>
      <c r="B1" s="714" t="str">
        <f>Capa!A19</f>
        <v xml:space="preserve">ORÇAMENTO PARA ELABORAÇÃO DE PROJETOS DE SISTEMA DE ESGOTAMENTO SANITÁRIO </v>
      </c>
      <c r="C1" s="714"/>
      <c r="D1" s="714"/>
      <c r="E1" s="714"/>
      <c r="F1" s="714"/>
      <c r="G1" s="714"/>
      <c r="H1" s="714"/>
      <c r="I1" s="714"/>
      <c r="J1" s="714"/>
      <c r="K1" s="714"/>
      <c r="L1" s="714"/>
      <c r="M1" s="56"/>
      <c r="N1" s="56"/>
      <c r="O1" s="56"/>
    </row>
    <row r="2" spans="1:19" ht="20.25" customHeight="1">
      <c r="A2" s="664"/>
      <c r="B2" s="771"/>
      <c r="C2" s="771"/>
      <c r="D2" s="771"/>
      <c r="E2" s="771"/>
      <c r="F2" s="771"/>
      <c r="G2" s="771"/>
      <c r="H2" s="771"/>
      <c r="I2" s="771"/>
      <c r="J2" s="771"/>
      <c r="K2" s="771"/>
      <c r="L2" s="771"/>
      <c r="M2" s="56"/>
      <c r="N2" s="56"/>
      <c r="O2" s="56"/>
    </row>
    <row r="3" spans="1:19" ht="20.25" customHeight="1">
      <c r="A3" s="110" t="s">
        <v>645</v>
      </c>
      <c r="B3" s="59"/>
      <c r="C3" s="59"/>
      <c r="D3" s="59"/>
      <c r="E3" s="181"/>
      <c r="F3" s="77"/>
      <c r="G3" s="181"/>
      <c r="K3" s="62" t="s">
        <v>143</v>
      </c>
      <c r="L3" s="76">
        <f ca="1">'Dados Básicos do município'!H4</f>
        <v>46170</v>
      </c>
    </row>
    <row r="4" spans="1:19" ht="20.25" customHeight="1">
      <c r="A4" s="110" t="s">
        <v>144</v>
      </c>
      <c r="B4" s="64" t="str">
        <f>'Dados Básicos do município'!B5</f>
        <v>CBH-PIRANGA</v>
      </c>
      <c r="E4" s="86"/>
      <c r="F4" s="77"/>
      <c r="G4" s="181"/>
      <c r="H4" s="181"/>
      <c r="I4" s="181"/>
      <c r="J4" s="181"/>
      <c r="K4" s="181"/>
      <c r="L4" s="180"/>
    </row>
    <row r="5" spans="1:19" ht="20.25" customHeight="1">
      <c r="A5" s="110" t="s">
        <v>145</v>
      </c>
      <c r="B5" s="64" t="str">
        <f>'Dados Básicos do município'!B6</f>
        <v>São Miguel do Anta/MG</v>
      </c>
      <c r="E5" s="86"/>
      <c r="F5" s="77"/>
      <c r="G5" s="181"/>
      <c r="H5" s="181"/>
      <c r="I5" s="181"/>
      <c r="J5" s="181"/>
      <c r="K5" s="181"/>
      <c r="L5" s="180"/>
    </row>
    <row r="6" spans="1:19" ht="14.25" customHeight="1">
      <c r="B6" s="111"/>
      <c r="C6" s="111"/>
      <c r="D6" s="111"/>
      <c r="E6" s="112"/>
      <c r="F6" s="112"/>
      <c r="G6" s="111"/>
      <c r="H6" s="113"/>
      <c r="I6" s="113"/>
      <c r="J6" s="113"/>
      <c r="K6" s="114"/>
      <c r="L6" s="182"/>
    </row>
    <row r="7" spans="1:19" ht="20.25" customHeight="1">
      <c r="A7" s="762" t="s">
        <v>407</v>
      </c>
      <c r="B7" s="762"/>
      <c r="C7" s="367">
        <v>1</v>
      </c>
      <c r="D7" s="401">
        <v>2</v>
      </c>
      <c r="E7" s="401">
        <v>3</v>
      </c>
      <c r="F7" s="403">
        <v>4</v>
      </c>
      <c r="G7" s="367">
        <v>5</v>
      </c>
      <c r="H7" s="401">
        <v>6</v>
      </c>
      <c r="I7" s="401">
        <v>7</v>
      </c>
      <c r="J7" s="403">
        <v>8</v>
      </c>
      <c r="K7" s="772" t="s">
        <v>646</v>
      </c>
      <c r="L7" s="772" t="s">
        <v>148</v>
      </c>
      <c r="M7" s="42"/>
    </row>
    <row r="8" spans="1:19" ht="33.75" customHeight="1">
      <c r="A8" s="761" t="s">
        <v>412</v>
      </c>
      <c r="B8" s="761"/>
      <c r="C8" s="404" t="s">
        <v>413</v>
      </c>
      <c r="D8" s="402" t="s">
        <v>414</v>
      </c>
      <c r="E8" s="402" t="s">
        <v>647</v>
      </c>
      <c r="F8" s="402" t="s">
        <v>416</v>
      </c>
      <c r="G8" s="402" t="s">
        <v>417</v>
      </c>
      <c r="H8" s="402" t="s">
        <v>418</v>
      </c>
      <c r="I8" s="404" t="s">
        <v>648</v>
      </c>
      <c r="J8" s="368" t="s">
        <v>421</v>
      </c>
      <c r="K8" s="773"/>
      <c r="L8" s="773"/>
      <c r="M8" s="42"/>
    </row>
    <row r="9" spans="1:19" ht="27.6">
      <c r="A9" s="765" t="s">
        <v>379</v>
      </c>
      <c r="B9" s="378" t="str">
        <f>Custos!B32</f>
        <v>Mobilização e desmobilização de equipe de topografia</v>
      </c>
      <c r="C9" s="192"/>
      <c r="D9" s="603">
        <f>Deslocamento!E19</f>
        <v>756</v>
      </c>
      <c r="E9" s="377"/>
      <c r="F9" s="377"/>
      <c r="G9" s="377"/>
      <c r="H9" s="377"/>
      <c r="I9" s="377"/>
      <c r="J9" s="604"/>
      <c r="K9" s="377">
        <f>SUM(C9:J9)</f>
        <v>756</v>
      </c>
      <c r="L9" s="212" t="str">
        <f>Custos!H32</f>
        <v>km</v>
      </c>
      <c r="M9" s="42"/>
      <c r="N9" s="255"/>
      <c r="O9" s="255"/>
      <c r="P9" s="255"/>
      <c r="Q9" s="255"/>
      <c r="R9" s="255"/>
      <c r="S9" s="86"/>
    </row>
    <row r="10" spans="1:19" ht="21.75" customHeight="1">
      <c r="A10" s="765"/>
      <c r="B10" s="378" t="str">
        <f>Custos!B33</f>
        <v>Equipe de topografia de campo</v>
      </c>
      <c r="C10" s="379"/>
      <c r="D10" s="605">
        <f>'Prod. Topografia'!I11</f>
        <v>0.12</v>
      </c>
      <c r="E10" s="377"/>
      <c r="F10" s="377"/>
      <c r="G10" s="377"/>
      <c r="H10" s="377"/>
      <c r="I10" s="377"/>
      <c r="J10" s="604"/>
      <c r="K10" s="377">
        <f t="shared" ref="K10:K18" si="0">SUM(C10:J10)</f>
        <v>0.12</v>
      </c>
      <c r="L10" s="212" t="str">
        <f>Custos!H33</f>
        <v>mês</v>
      </c>
      <c r="M10" s="42"/>
      <c r="N10" s="256"/>
      <c r="O10" s="256"/>
      <c r="P10" s="256"/>
      <c r="Q10" s="256"/>
      <c r="R10" s="256"/>
      <c r="S10" s="86"/>
    </row>
    <row r="11" spans="1:19" ht="18" customHeight="1">
      <c r="A11" s="765"/>
      <c r="B11" s="378" t="str">
        <f>Custos!B34</f>
        <v>Equipe de topografia de escritório</v>
      </c>
      <c r="C11" s="379"/>
      <c r="D11" s="605">
        <f>'Prod. Topografia'!I12</f>
        <v>0.29000000000000004</v>
      </c>
      <c r="E11" s="377"/>
      <c r="F11" s="377"/>
      <c r="G11" s="377"/>
      <c r="H11" s="377"/>
      <c r="I11" s="377"/>
      <c r="J11" s="604"/>
      <c r="K11" s="377">
        <f t="shared" si="0"/>
        <v>0.29000000000000004</v>
      </c>
      <c r="L11" s="212" t="str">
        <f>Custos!H34</f>
        <v>mês</v>
      </c>
      <c r="M11" s="42"/>
      <c r="N11" s="256"/>
      <c r="O11" s="256"/>
      <c r="P11" s="256"/>
      <c r="Q11" s="256"/>
      <c r="R11" s="256"/>
      <c r="S11" s="86"/>
    </row>
    <row r="12" spans="1:19" ht="20.25" customHeight="1">
      <c r="A12" s="761" t="s">
        <v>384</v>
      </c>
      <c r="B12" s="378" t="str">
        <f>Custos!B37</f>
        <v>Equipe de topografia de campo</v>
      </c>
      <c r="C12" s="192"/>
      <c r="D12" s="605"/>
      <c r="E12" s="605">
        <f>'Prod. Cadastro Técnico'!I12</f>
        <v>0.6</v>
      </c>
      <c r="F12" s="377"/>
      <c r="G12" s="377"/>
      <c r="H12" s="377"/>
      <c r="I12" s="377"/>
      <c r="J12" s="604"/>
      <c r="K12" s="377">
        <f t="shared" si="0"/>
        <v>0.6</v>
      </c>
      <c r="L12" s="377" t="str">
        <f>Custos!H37</f>
        <v>mês</v>
      </c>
      <c r="M12" s="42"/>
      <c r="N12" s="256"/>
      <c r="O12" s="256"/>
      <c r="P12" s="256"/>
      <c r="Q12" s="256"/>
      <c r="R12" s="256"/>
      <c r="S12" s="86"/>
    </row>
    <row r="13" spans="1:19" ht="20.25" customHeight="1">
      <c r="A13" s="762"/>
      <c r="B13" s="378" t="str">
        <f>Custos!B38</f>
        <v>Equipe de topografia de escritório</v>
      </c>
      <c r="C13" s="192"/>
      <c r="D13" s="605"/>
      <c r="E13" s="605">
        <f>'Prod. Cadastro Técnico'!I13</f>
        <v>0.28000000000000003</v>
      </c>
      <c r="F13" s="377"/>
      <c r="G13" s="377"/>
      <c r="H13" s="377"/>
      <c r="I13" s="377"/>
      <c r="J13" s="604"/>
      <c r="K13" s="377">
        <f t="shared" si="0"/>
        <v>0.28000000000000003</v>
      </c>
      <c r="L13" s="377" t="str">
        <f>Custos!H38</f>
        <v>mês</v>
      </c>
      <c r="M13" s="42"/>
      <c r="N13" s="256"/>
      <c r="O13" s="256"/>
      <c r="P13" s="256"/>
      <c r="Q13" s="256"/>
      <c r="R13" s="256"/>
      <c r="S13" s="86"/>
    </row>
    <row r="14" spans="1:19" ht="20.25" customHeight="1">
      <c r="A14" s="765" t="s">
        <v>649</v>
      </c>
      <c r="B14" s="378" t="str">
        <f>Custos!B27</f>
        <v>Sondagem a percussao - mobilizacao e desmobilizacao</v>
      </c>
      <c r="C14" s="212"/>
      <c r="D14" s="377"/>
      <c r="E14" s="377"/>
      <c r="F14" s="377"/>
      <c r="G14" s="377"/>
      <c r="H14" s="377">
        <v>1</v>
      </c>
      <c r="I14" s="377"/>
      <c r="J14" s="604"/>
      <c r="K14" s="377">
        <f t="shared" si="0"/>
        <v>1</v>
      </c>
      <c r="L14" s="212" t="str">
        <f>Custos!H27</f>
        <v>unidade</v>
      </c>
      <c r="M14" s="42"/>
      <c r="O14" s="265"/>
      <c r="P14" s="265"/>
      <c r="Q14" s="265"/>
      <c r="R14" s="265"/>
      <c r="S14" s="258"/>
    </row>
    <row r="15" spans="1:19" ht="20.25" customHeight="1">
      <c r="A15" s="765"/>
      <c r="B15" s="378" t="str">
        <f>Custos!B28</f>
        <v>Sondagem a percussao - instalacao por furo</v>
      </c>
      <c r="C15" s="212"/>
      <c r="D15" s="377"/>
      <c r="E15" s="377"/>
      <c r="F15" s="377"/>
      <c r="G15" s="377"/>
      <c r="H15" s="377">
        <f>ROUND((10+('Dados Básicos do município'!C25/1000)/2),2)</f>
        <v>10.01</v>
      </c>
      <c r="I15" s="377"/>
      <c r="J15" s="604"/>
      <c r="K15" s="377">
        <f>SUM(C15:J15)</f>
        <v>10.01</v>
      </c>
      <c r="L15" s="212" t="str">
        <f>Custos!H28</f>
        <v>unidade</v>
      </c>
      <c r="M15" s="42"/>
      <c r="N15" s="264"/>
      <c r="O15" s="265"/>
      <c r="P15" s="265"/>
      <c r="Q15" s="265"/>
      <c r="R15" s="265"/>
      <c r="S15" s="258"/>
    </row>
    <row r="16" spans="1:19" ht="27.6">
      <c r="A16" s="765"/>
      <c r="B16" s="378" t="str">
        <f>Custos!B29</f>
        <v>Sondagem a percussao ø2.1/2" - perfuracao e retirada de amostras</v>
      </c>
      <c r="C16" s="212"/>
      <c r="D16" s="377"/>
      <c r="E16" s="377"/>
      <c r="F16" s="377"/>
      <c r="G16" s="377"/>
      <c r="H16" s="377">
        <f>ROUND((10+('Dados Básicos do município'!C25/1000)/2)*10,2)</f>
        <v>100.07</v>
      </c>
      <c r="I16" s="377"/>
      <c r="J16" s="604"/>
      <c r="K16" s="377">
        <f t="shared" si="0"/>
        <v>100.07</v>
      </c>
      <c r="L16" s="212" t="str">
        <f>Custos!H29</f>
        <v>m</v>
      </c>
      <c r="M16" s="42"/>
      <c r="N16" s="470"/>
      <c r="O16" s="470" t="s">
        <v>650</v>
      </c>
      <c r="P16" s="266"/>
      <c r="Q16" s="266"/>
      <c r="R16" s="266"/>
      <c r="S16" s="259"/>
    </row>
    <row r="17" spans="1:19" ht="20.25" customHeight="1">
      <c r="A17" s="761" t="s">
        <v>386</v>
      </c>
      <c r="B17" s="378" t="str">
        <f>[1]Custos!B47</f>
        <v>Análise bacteriológica de água</v>
      </c>
      <c r="C17" s="417"/>
      <c r="D17" s="606"/>
      <c r="E17" s="606"/>
      <c r="F17" s="606">
        <v>2</v>
      </c>
      <c r="G17" s="606"/>
      <c r="H17" s="606"/>
      <c r="I17" s="606"/>
      <c r="J17" s="606"/>
      <c r="K17" s="377">
        <f t="shared" si="0"/>
        <v>2</v>
      </c>
      <c r="L17" s="417" t="s">
        <v>375</v>
      </c>
      <c r="N17" s="266"/>
      <c r="O17" s="266"/>
      <c r="P17" s="266"/>
      <c r="Q17" s="266"/>
      <c r="R17" s="266"/>
      <c r="S17" s="259"/>
    </row>
    <row r="18" spans="1:19" ht="20.25" customHeight="1">
      <c r="A18" s="762"/>
      <c r="B18" s="378" t="str">
        <f>[1]Custos!B48</f>
        <v>Análise fisíco-química</v>
      </c>
      <c r="C18" s="417"/>
      <c r="D18" s="606"/>
      <c r="E18" s="606"/>
      <c r="F18" s="606">
        <v>2</v>
      </c>
      <c r="G18" s="606"/>
      <c r="H18" s="606"/>
      <c r="I18" s="606"/>
      <c r="J18" s="606"/>
      <c r="K18" s="377">
        <f t="shared" si="0"/>
        <v>2</v>
      </c>
      <c r="L18" s="417" t="s">
        <v>651</v>
      </c>
      <c r="N18" s="266"/>
      <c r="O18" s="266"/>
      <c r="P18" s="266"/>
      <c r="Q18" s="266"/>
      <c r="R18" s="266"/>
      <c r="S18" s="259"/>
    </row>
    <row r="19" spans="1:19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</row>
    <row r="20" spans="1:19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</row>
    <row r="21" spans="1:19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</row>
  </sheetData>
  <mergeCells count="9">
    <mergeCell ref="B1:L2"/>
    <mergeCell ref="A14:A16"/>
    <mergeCell ref="A7:B7"/>
    <mergeCell ref="A12:A13"/>
    <mergeCell ref="A17:A18"/>
    <mergeCell ref="A9:A11"/>
    <mergeCell ref="K7:K8"/>
    <mergeCell ref="A8:B8"/>
    <mergeCell ref="L7:L8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8" tint="-0.249977111117893"/>
    <pageSetUpPr fitToPage="1"/>
  </sheetPr>
  <dimension ref="A1:G22"/>
  <sheetViews>
    <sheetView showGridLines="0" view="pageBreakPreview" topLeftCell="A8" zoomScale="130" zoomScaleSheetLayoutView="130" workbookViewId="0">
      <selection activeCell="F20" sqref="F20"/>
    </sheetView>
  </sheetViews>
  <sheetFormatPr defaultColWidth="9.140625" defaultRowHeight="15.6"/>
  <cols>
    <col min="1" max="1" width="16.7109375" style="86" customWidth="1"/>
    <col min="2" max="2" width="44.28515625" style="86" customWidth="1"/>
    <col min="3" max="3" width="10.42578125" style="93" bestFit="1" customWidth="1"/>
    <col min="4" max="4" width="12.28515625" style="86" customWidth="1"/>
    <col min="5" max="5" width="9.140625" style="86"/>
    <col min="6" max="6" width="13.5703125" style="86" customWidth="1"/>
    <col min="7" max="16384" width="9.140625" style="86"/>
  </cols>
  <sheetData>
    <row r="1" spans="1:6" ht="20.100000000000001" customHeight="1">
      <c r="A1" s="654"/>
      <c r="B1" s="723" t="str">
        <f>Capa!A19</f>
        <v xml:space="preserve">ORÇAMENTO PARA ELABORAÇÃO DE PROJETOS DE SISTEMA DE ESGOTAMENTO SANITÁRIO </v>
      </c>
      <c r="C1" s="723"/>
      <c r="D1" s="723"/>
      <c r="E1" s="723"/>
      <c r="F1" s="723"/>
    </row>
    <row r="2" spans="1:6" ht="20.100000000000001" customHeight="1">
      <c r="A2" s="654"/>
      <c r="B2" s="723"/>
      <c r="C2" s="723"/>
      <c r="D2" s="723"/>
      <c r="E2" s="723"/>
      <c r="F2" s="723"/>
    </row>
    <row r="3" spans="1:6" ht="20.100000000000001" customHeight="1">
      <c r="A3" s="52"/>
      <c r="B3" s="52"/>
      <c r="C3" s="72"/>
      <c r="D3" s="72"/>
    </row>
    <row r="4" spans="1:6" ht="20.100000000000001" customHeight="1">
      <c r="A4" s="78" t="s">
        <v>652</v>
      </c>
      <c r="B4" s="78"/>
      <c r="C4" s="53"/>
      <c r="D4" s="79"/>
      <c r="E4" s="80" t="s">
        <v>143</v>
      </c>
      <c r="F4" s="63">
        <f ca="1">'Dados Básicos do município'!H4</f>
        <v>46170</v>
      </c>
    </row>
    <row r="5" spans="1:6" ht="20.100000000000001" customHeight="1">
      <c r="A5" s="78" t="s">
        <v>144</v>
      </c>
      <c r="B5" s="81" t="str">
        <f>'Dados Básicos do município'!B5</f>
        <v>CBH-PIRANGA</v>
      </c>
      <c r="C5" s="53"/>
      <c r="D5" s="79"/>
    </row>
    <row r="6" spans="1:6" ht="20.100000000000001" customHeight="1">
      <c r="A6" s="78" t="s">
        <v>145</v>
      </c>
      <c r="B6" s="81" t="str">
        <f>'Dados Básicos do município'!B6</f>
        <v>São Miguel do Anta/MG</v>
      </c>
      <c r="C6" s="53"/>
    </row>
    <row r="7" spans="1:6" ht="15" customHeight="1">
      <c r="A7" s="78"/>
      <c r="B7" s="78"/>
      <c r="C7" s="53"/>
      <c r="D7" s="79"/>
    </row>
    <row r="8" spans="1:6" ht="15" customHeight="1">
      <c r="A8" s="775" t="s">
        <v>653</v>
      </c>
      <c r="B8" s="775"/>
      <c r="C8" s="775"/>
      <c r="D8" s="775"/>
      <c r="E8" s="775"/>
      <c r="F8" s="775"/>
    </row>
    <row r="9" spans="1:6" ht="15" customHeight="1">
      <c r="A9" s="775"/>
      <c r="B9" s="775"/>
      <c r="C9" s="775"/>
      <c r="D9" s="775"/>
      <c r="E9" s="775"/>
      <c r="F9" s="775"/>
    </row>
    <row r="10" spans="1:6" ht="20.100000000000001" customHeight="1">
      <c r="A10" s="774" t="s">
        <v>654</v>
      </c>
      <c r="B10" s="774"/>
      <c r="C10" s="774"/>
      <c r="D10" s="131"/>
      <c r="E10" s="131"/>
      <c r="F10" s="131"/>
    </row>
    <row r="11" spans="1:6" ht="20.100000000000001" customHeight="1">
      <c r="A11" s="205" t="s">
        <v>655</v>
      </c>
      <c r="B11" s="205" t="s">
        <v>656</v>
      </c>
      <c r="C11" s="205"/>
      <c r="D11" s="206"/>
      <c r="E11" s="207"/>
      <c r="F11" s="208">
        <v>0.81789999999999996</v>
      </c>
    </row>
    <row r="12" spans="1:6" ht="20.100000000000001" customHeight="1">
      <c r="A12" s="205" t="s">
        <v>657</v>
      </c>
      <c r="B12" s="205"/>
      <c r="C12" s="205"/>
      <c r="D12" s="206"/>
      <c r="E12" s="207"/>
      <c r="F12" s="208">
        <v>0.1729</v>
      </c>
    </row>
    <row r="13" spans="1:6" ht="20.100000000000001" customHeight="1">
      <c r="A13" s="209" t="s">
        <v>658</v>
      </c>
      <c r="B13" s="209"/>
      <c r="C13" s="209"/>
      <c r="D13" s="209"/>
      <c r="E13" s="207"/>
      <c r="F13" s="208">
        <v>8.7599999999999997E-2</v>
      </c>
    </row>
    <row r="14" spans="1:6" ht="20.100000000000001" customHeight="1">
      <c r="A14" s="209" t="s">
        <v>659</v>
      </c>
      <c r="B14" s="209"/>
      <c r="C14" s="209"/>
      <c r="D14" s="209"/>
      <c r="E14" s="207"/>
      <c r="F14" s="208">
        <f>(1/(1-(D15+D16+D17))-1)</f>
        <v>0.16618075801749277</v>
      </c>
    </row>
    <row r="15" spans="1:6" ht="20.100000000000001" customHeight="1">
      <c r="A15" s="205"/>
      <c r="B15" s="205"/>
      <c r="C15" s="205" t="s">
        <v>660</v>
      </c>
      <c r="D15" s="210">
        <v>1.6500000000000001E-2</v>
      </c>
      <c r="E15" s="207"/>
      <c r="F15" s="211"/>
    </row>
    <row r="16" spans="1:6" ht="20.100000000000001" customHeight="1">
      <c r="A16" s="205"/>
      <c r="B16" s="205"/>
      <c r="C16" s="205" t="s">
        <v>661</v>
      </c>
      <c r="D16" s="210">
        <v>7.5999999999999998E-2</v>
      </c>
      <c r="E16" s="207"/>
      <c r="F16" s="211"/>
    </row>
    <row r="17" spans="1:7" ht="20.100000000000001" customHeight="1">
      <c r="A17" s="205"/>
      <c r="B17" s="205"/>
      <c r="C17" s="205" t="s">
        <v>662</v>
      </c>
      <c r="D17" s="420">
        <v>0.05</v>
      </c>
      <c r="E17" s="207"/>
      <c r="F17" s="211"/>
    </row>
    <row r="18" spans="1:7" ht="3" customHeight="1">
      <c r="A18" s="132"/>
      <c r="B18" s="133"/>
      <c r="C18" s="134"/>
      <c r="D18" s="135"/>
      <c r="E18" s="136"/>
      <c r="F18" s="137"/>
    </row>
    <row r="19" spans="1:7" ht="20.100000000000001" customHeight="1">
      <c r="A19" s="138" t="s">
        <v>663</v>
      </c>
      <c r="B19" s="139"/>
      <c r="C19" s="140" t="s">
        <v>664</v>
      </c>
      <c r="D19" s="141"/>
      <c r="E19" s="142"/>
      <c r="F19" s="555">
        <f>ROUNDDOWN((1+F11+F12)*(1+F13)*(1+F14),2)</f>
        <v>2.52</v>
      </c>
    </row>
    <row r="20" spans="1:7" ht="20.100000000000001" customHeight="1">
      <c r="A20" s="138" t="s">
        <v>665</v>
      </c>
      <c r="B20" s="139"/>
      <c r="C20" s="140" t="s">
        <v>666</v>
      </c>
      <c r="D20" s="141"/>
      <c r="E20" s="142"/>
      <c r="F20" s="555">
        <f>ROUND((1+F13)*(1+F14),2)</f>
        <v>1.27</v>
      </c>
    </row>
    <row r="21" spans="1:7" ht="15" customHeight="1">
      <c r="A21" s="776" t="s">
        <v>667</v>
      </c>
      <c r="B21" s="777"/>
      <c r="C21" s="777"/>
      <c r="D21" s="777"/>
      <c r="E21" s="777"/>
      <c r="F21" s="777"/>
    </row>
    <row r="22" spans="1:7">
      <c r="A22" s="665" t="s">
        <v>274</v>
      </c>
      <c r="B22" s="666" t="s">
        <v>668</v>
      </c>
      <c r="G22" s="386"/>
    </row>
  </sheetData>
  <mergeCells count="4">
    <mergeCell ref="A10:C10"/>
    <mergeCell ref="A8:F9"/>
    <mergeCell ref="A21:F21"/>
    <mergeCell ref="B1:F2"/>
  </mergeCells>
  <hyperlinks>
    <hyperlink ref="B22" r:id="rId1" xr:uid="{94CE9E76-04EB-4253-A111-A7C5D029B360}"/>
  </hyperlinks>
  <printOptions horizontalCentered="1"/>
  <pageMargins left="0.51181102362204722" right="0.51181102362204722" top="0.78740157480314965" bottom="0.78740157480314965" header="0.31496062992125984" footer="0.31496062992125984"/>
  <pageSetup paperSize="9" scale="86" orientation="portrait" r:id="rId2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8" tint="-0.249977111117893"/>
    <pageSetUpPr fitToPage="1"/>
  </sheetPr>
  <dimension ref="A1:M50"/>
  <sheetViews>
    <sheetView showGridLines="0" view="pageBreakPreview" topLeftCell="A23" zoomScaleNormal="100" zoomScaleSheetLayoutView="100" workbookViewId="0">
      <selection activeCell="H38" sqref="H38"/>
    </sheetView>
  </sheetViews>
  <sheetFormatPr defaultColWidth="9.140625" defaultRowHeight="15.6"/>
  <cols>
    <col min="1" max="1" width="5" style="79" customWidth="1"/>
    <col min="2" max="2" width="11.28515625" style="79" customWidth="1"/>
    <col min="3" max="3" width="10" style="79" customWidth="1"/>
    <col min="4" max="4" width="13.8554687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4.42578125" style="127" customWidth="1"/>
    <col min="12" max="22" width="12.7109375" style="79" customWidth="1"/>
    <col min="23" max="16384" width="9.140625" style="79"/>
  </cols>
  <sheetData>
    <row r="1" spans="1:13" ht="35.25" customHeight="1">
      <c r="B1" s="126"/>
      <c r="C1" s="778" t="str">
        <f>Capa!A19</f>
        <v xml:space="preserve">ORÇAMENTO PARA ELABORAÇÃO DE PROJETOS DE SISTEMA DE ESGOTAMENTO SANITÁRIO </v>
      </c>
      <c r="D1" s="778"/>
      <c r="E1" s="778"/>
      <c r="F1" s="778"/>
      <c r="G1" s="778"/>
      <c r="H1" s="778"/>
      <c r="I1" s="778"/>
      <c r="J1" s="778"/>
      <c r="K1" s="778"/>
    </row>
    <row r="2" spans="1:13" s="118" customFormat="1" ht="15" customHeight="1">
      <c r="A2" s="78" t="s">
        <v>669</v>
      </c>
      <c r="C2" s="81" t="str">
        <f>'Horas trabalhadas'!C8</f>
        <v>Plano de Trabalho</v>
      </c>
      <c r="F2" s="128"/>
      <c r="G2" s="176"/>
      <c r="J2" s="115" t="s">
        <v>143</v>
      </c>
      <c r="K2" s="63">
        <f ca="1">'Dados Básicos do município'!H4</f>
        <v>46170</v>
      </c>
    </row>
    <row r="3" spans="1:13" s="118" customFormat="1" ht="15" customHeight="1">
      <c r="A3" s="78" t="s">
        <v>144</v>
      </c>
      <c r="C3" s="81" t="str">
        <f>'Dados Básicos do município'!B5</f>
        <v>CBH-PIRANGA</v>
      </c>
      <c r="F3" s="128"/>
      <c r="G3" s="176"/>
      <c r="K3" s="128"/>
    </row>
    <row r="4" spans="1:13" s="118" customFormat="1" ht="15" customHeight="1">
      <c r="A4" s="78" t="s">
        <v>145</v>
      </c>
      <c r="C4" s="81" t="str">
        <f>'Dados Básicos do município'!B6</f>
        <v>São Miguel do Anta/MG</v>
      </c>
      <c r="F4" s="128"/>
      <c r="G4" s="176"/>
      <c r="J4" s="116"/>
      <c r="K4" s="115"/>
    </row>
    <row r="5" spans="1:13" ht="6" customHeight="1">
      <c r="A5" s="152"/>
      <c r="B5" s="152"/>
      <c r="C5" s="152"/>
      <c r="D5" s="152"/>
      <c r="E5" s="153"/>
      <c r="F5" s="154"/>
      <c r="G5" s="177"/>
      <c r="H5" s="156"/>
      <c r="I5" s="155"/>
      <c r="J5" s="155"/>
      <c r="K5" s="184"/>
    </row>
    <row r="6" spans="1:13" s="130" customFormat="1" ht="47.45" customHeight="1">
      <c r="A6" s="341" t="s">
        <v>670</v>
      </c>
      <c r="B6" s="341" t="s">
        <v>19</v>
      </c>
      <c r="C6" s="341" t="s">
        <v>671</v>
      </c>
      <c r="D6" s="341" t="s">
        <v>672</v>
      </c>
      <c r="E6" s="342" t="s">
        <v>673</v>
      </c>
      <c r="F6" s="779" t="s">
        <v>674</v>
      </c>
      <c r="G6" s="779"/>
      <c r="H6" s="343" t="s">
        <v>675</v>
      </c>
      <c r="I6" s="344" t="s">
        <v>676</v>
      </c>
      <c r="J6" s="344" t="s">
        <v>677</v>
      </c>
      <c r="K6" s="344" t="s">
        <v>678</v>
      </c>
    </row>
    <row r="7" spans="1:13" s="118" customFormat="1" ht="18" customHeight="1">
      <c r="A7" s="345">
        <v>1</v>
      </c>
      <c r="B7" s="346" t="s">
        <v>679</v>
      </c>
      <c r="C7" s="346"/>
      <c r="D7" s="346"/>
      <c r="E7" s="346"/>
      <c r="F7" s="347"/>
      <c r="G7" s="345"/>
      <c r="H7" s="346"/>
      <c r="I7" s="346"/>
      <c r="J7" s="348">
        <f>J9</f>
        <v>13406.73</v>
      </c>
      <c r="K7" s="349">
        <f>J7/$J$45</f>
        <v>1</v>
      </c>
    </row>
    <row r="8" spans="1:13" ht="6" customHeight="1">
      <c r="A8" s="152"/>
      <c r="B8" s="152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349</v>
      </c>
      <c r="C9" s="171"/>
      <c r="D9" s="171"/>
      <c r="E9" s="171"/>
      <c r="F9" s="172"/>
      <c r="G9" s="170"/>
      <c r="H9" s="171"/>
      <c r="I9" s="171"/>
      <c r="J9" s="361">
        <f>SUM(J10:J12)</f>
        <v>13406.73</v>
      </c>
      <c r="K9" s="365">
        <f>SUM(K10:K12)</f>
        <v>1</v>
      </c>
    </row>
    <row r="10" spans="1:13" s="119" customFormat="1" ht="16.149999999999999" customHeight="1">
      <c r="A10" s="220" t="s">
        <v>351</v>
      </c>
      <c r="B10" s="213" t="str">
        <f>Custos!E13</f>
        <v>P8061</v>
      </c>
      <c r="C10" s="376" t="str">
        <f>Custos!G13</f>
        <v>jan/2026</v>
      </c>
      <c r="D10" s="214" t="str">
        <f>Custos!$D$13</f>
        <v>DNIT</v>
      </c>
      <c r="E10" s="215" t="str">
        <f>Custos!B13</f>
        <v>Engenheiro Coordenador</v>
      </c>
      <c r="F10" s="608">
        <f>Custos!J13</f>
        <v>131.97</v>
      </c>
      <c r="G10" s="214" t="s">
        <v>356</v>
      </c>
      <c r="H10" s="610">
        <f>'Horas trabalhadas'!C9</f>
        <v>25.24</v>
      </c>
      <c r="I10" s="608">
        <f>ROUND(H10*F10,2)</f>
        <v>3330.92</v>
      </c>
      <c r="J10" s="608">
        <f>ROUND(I10*K!$F$19,2)</f>
        <v>8393.92</v>
      </c>
      <c r="K10" s="551">
        <f>ROUND(J10/$J$45,4)</f>
        <v>0.62609999999999999</v>
      </c>
      <c r="M10" s="120"/>
    </row>
    <row r="11" spans="1:13" s="119" customFormat="1" ht="16.149999999999999" customHeight="1">
      <c r="A11" s="220" t="s">
        <v>358</v>
      </c>
      <c r="B11" s="213" t="str">
        <f>Custos!E14</f>
        <v>P8066</v>
      </c>
      <c r="C11" s="376" t="str">
        <f>Custos!G14</f>
        <v>jan/2026</v>
      </c>
      <c r="D11" s="218" t="str">
        <f>Custos!D14</f>
        <v>DNIT</v>
      </c>
      <c r="E11" s="215" t="str">
        <f>Custos!B14</f>
        <v>Engenheiro de Projetos Pleno</v>
      </c>
      <c r="F11" s="609">
        <f>Custos!J14</f>
        <v>99.01</v>
      </c>
      <c r="G11" s="218" t="s">
        <v>356</v>
      </c>
      <c r="H11" s="610">
        <f>'Horas trabalhadas'!C10</f>
        <v>15.77</v>
      </c>
      <c r="I11" s="608">
        <f t="shared" ref="I11:I12" si="0">ROUND(H11*F11,2)</f>
        <v>1561.39</v>
      </c>
      <c r="J11" s="608">
        <f>ROUND(I11*K!$F$19,2)</f>
        <v>3934.7</v>
      </c>
      <c r="K11" s="228">
        <f>ROUND(J11/$J$45,4)</f>
        <v>0.29349999999999998</v>
      </c>
      <c r="M11" s="120"/>
    </row>
    <row r="12" spans="1:13" s="119" customFormat="1" ht="16.149999999999999" customHeight="1">
      <c r="A12" s="220" t="s">
        <v>361</v>
      </c>
      <c r="B12" s="213" t="str">
        <f>Custos!E15</f>
        <v>P8026</v>
      </c>
      <c r="C12" s="376" t="str">
        <f>Custos!G15</f>
        <v>jan/2026</v>
      </c>
      <c r="D12" s="218" t="str">
        <f>Custos!D15</f>
        <v>DNIT</v>
      </c>
      <c r="E12" s="215" t="str">
        <f>Custos!B15</f>
        <v>Auxiliar Administrativo</v>
      </c>
      <c r="F12" s="609">
        <f>Custos!J15</f>
        <v>13.56</v>
      </c>
      <c r="G12" s="218" t="s">
        <v>356</v>
      </c>
      <c r="H12" s="610">
        <f>'Horas trabalhadas'!C11</f>
        <v>31.55</v>
      </c>
      <c r="I12" s="608">
        <f t="shared" si="0"/>
        <v>427.82</v>
      </c>
      <c r="J12" s="608">
        <f>ROUND(I12*K!$F$19,2)</f>
        <v>1078.1099999999999</v>
      </c>
      <c r="K12" s="228">
        <f>ROUND(J12/$J$45,4)</f>
        <v>8.0399999999999999E-2</v>
      </c>
      <c r="M12" s="120"/>
    </row>
    <row r="13" spans="1:13" ht="6" customHeight="1">
      <c r="A13" s="152"/>
      <c r="B13" s="152"/>
      <c r="C13" s="152"/>
      <c r="D13" s="152"/>
      <c r="E13" s="153"/>
      <c r="F13" s="154"/>
      <c r="G13" s="177"/>
      <c r="H13" s="156"/>
      <c r="I13" s="155"/>
      <c r="J13" s="155"/>
      <c r="K13" s="184"/>
    </row>
    <row r="14" spans="1:13" s="118" customFormat="1" ht="18" customHeight="1">
      <c r="A14" s="345">
        <v>2</v>
      </c>
      <c r="B14" s="346" t="s">
        <v>365</v>
      </c>
      <c r="C14" s="346"/>
      <c r="D14" s="346"/>
      <c r="E14" s="346"/>
      <c r="F14" s="347"/>
      <c r="G14" s="345"/>
      <c r="H14" s="346"/>
      <c r="I14" s="346"/>
      <c r="J14" s="348">
        <f>J16</f>
        <v>0</v>
      </c>
      <c r="K14" s="349">
        <f>J14/$J$45</f>
        <v>0</v>
      </c>
    </row>
    <row r="15" spans="1:13" ht="5.0999999999999996" customHeight="1">
      <c r="A15" s="159"/>
      <c r="B15" s="160"/>
      <c r="C15" s="160"/>
      <c r="D15" s="161"/>
      <c r="E15" s="162"/>
      <c r="F15" s="157"/>
      <c r="G15" s="151"/>
      <c r="H15" s="158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365</v>
      </c>
      <c r="C16" s="351"/>
      <c r="D16" s="351"/>
      <c r="E16" s="351"/>
      <c r="F16" s="352"/>
      <c r="G16" s="350"/>
      <c r="H16" s="351"/>
      <c r="I16" s="352"/>
      <c r="J16" s="353">
        <f>SUM(J17:J19)</f>
        <v>0</v>
      </c>
      <c r="K16" s="366">
        <f>SUM(K17:K19)</f>
        <v>0</v>
      </c>
    </row>
    <row r="17" spans="1:11" s="119" customFormat="1" ht="16.149999999999999" customHeight="1">
      <c r="A17" s="220" t="s">
        <v>351</v>
      </c>
      <c r="B17" s="213" t="str">
        <f>Custos!E20</f>
        <v>P8067</v>
      </c>
      <c r="C17" s="376" t="str">
        <f>Custos!G20</f>
        <v>jan/2026</v>
      </c>
      <c r="D17" s="218" t="str">
        <f>Custos!D20</f>
        <v>DNIT</v>
      </c>
      <c r="E17" s="215" t="str">
        <f>Custos!B20</f>
        <v>Engenheiro de Projetos (Elétrico)</v>
      </c>
      <c r="F17" s="608">
        <f>Custos!J20</f>
        <v>115.11</v>
      </c>
      <c r="G17" s="214" t="s">
        <v>356</v>
      </c>
      <c r="H17" s="610">
        <f>'Horas trabalhadas'!C12</f>
        <v>0</v>
      </c>
      <c r="I17" s="608">
        <f t="shared" ref="I17:I19" si="1">ROUND(H17*F17,2)</f>
        <v>0</v>
      </c>
      <c r="J17" s="608">
        <f>ROUND(I17*K!$F$19,2)</f>
        <v>0</v>
      </c>
      <c r="K17" s="227">
        <f>ROUND(J17/$J$45,4)</f>
        <v>0</v>
      </c>
    </row>
    <row r="18" spans="1:11" s="119" customFormat="1" ht="16.149999999999999" customHeight="1">
      <c r="A18" s="220" t="s">
        <v>358</v>
      </c>
      <c r="B18" s="213" t="str">
        <f>Custos!E21</f>
        <v>P8067</v>
      </c>
      <c r="C18" s="376" t="str">
        <f>Custos!G21</f>
        <v>jan/2026</v>
      </c>
      <c r="D18" s="218" t="str">
        <f>Custos!D21</f>
        <v>DNIT</v>
      </c>
      <c r="E18" s="215" t="str">
        <f>Custos!B21</f>
        <v>Engenheiro de Projeto (Calculista)</v>
      </c>
      <c r="F18" s="608">
        <f>Custos!J21</f>
        <v>115.11</v>
      </c>
      <c r="G18" s="214" t="s">
        <v>356</v>
      </c>
      <c r="H18" s="610">
        <f>'Horas trabalhadas'!C13</f>
        <v>0</v>
      </c>
      <c r="I18" s="608">
        <f t="shared" si="1"/>
        <v>0</v>
      </c>
      <c r="J18" s="608">
        <f>ROUND(I18*K!$F$19,2)</f>
        <v>0</v>
      </c>
      <c r="K18" s="227">
        <f>ROUND(J18/$J$45,4)</f>
        <v>0</v>
      </c>
    </row>
    <row r="19" spans="1:11" s="119" customFormat="1" ht="16.149999999999999" customHeight="1">
      <c r="A19" s="220" t="s">
        <v>361</v>
      </c>
      <c r="B19" s="213" t="str">
        <f>Custos!E22</f>
        <v>P8059</v>
      </c>
      <c r="C19" s="376" t="str">
        <f>Custos!G22</f>
        <v>jan/2026</v>
      </c>
      <c r="D19" s="218" t="e">
        <f>Custos!#REF!</f>
        <v>#REF!</v>
      </c>
      <c r="E19" s="215" t="str">
        <f>Custos!B22</f>
        <v>Engenheiro ambiental</v>
      </c>
      <c r="F19" s="608">
        <f>Custos!J22</f>
        <v>120.83</v>
      </c>
      <c r="G19" s="214" t="s">
        <v>356</v>
      </c>
      <c r="H19" s="610">
        <f>'Horas trabalhadas'!C14</f>
        <v>0</v>
      </c>
      <c r="I19" s="608">
        <f t="shared" si="1"/>
        <v>0</v>
      </c>
      <c r="J19" s="608">
        <f>ROUND(I19*K!$F$19,2)</f>
        <v>0</v>
      </c>
      <c r="K19" s="227">
        <f>ROUND(J19/$J$45,4)</f>
        <v>0</v>
      </c>
    </row>
    <row r="20" spans="1:11" ht="6" customHeight="1">
      <c r="A20" s="152"/>
      <c r="B20" s="152"/>
      <c r="C20" s="152"/>
      <c r="D20" s="152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355" t="s">
        <v>138</v>
      </c>
      <c r="C21" s="355"/>
      <c r="D21" s="355"/>
      <c r="E21" s="174"/>
      <c r="F21" s="175"/>
      <c r="G21" s="173"/>
      <c r="H21" s="174"/>
      <c r="I21" s="174"/>
      <c r="J21" s="360">
        <f>J23+J28+J33+J37</f>
        <v>0</v>
      </c>
      <c r="K21" s="349">
        <f>J21/$J$45</f>
        <v>0</v>
      </c>
    </row>
    <row r="22" spans="1:11" ht="5.0999999999999996" customHeight="1">
      <c r="A22" s="159"/>
      <c r="B22" s="160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379</v>
      </c>
      <c r="C23" s="171"/>
      <c r="D23" s="171"/>
      <c r="E23" s="171"/>
      <c r="F23" s="172"/>
      <c r="G23" s="170"/>
      <c r="H23" s="171"/>
      <c r="I23" s="171"/>
      <c r="J23" s="361">
        <f>SUM(J24:J26)</f>
        <v>0</v>
      </c>
      <c r="K23" s="365">
        <f>SUM(K24:K26)</f>
        <v>0</v>
      </c>
    </row>
    <row r="24" spans="1:11" s="119" customFormat="1">
      <c r="A24" s="220" t="s">
        <v>351</v>
      </c>
      <c r="B24" s="220">
        <f>Custos!E32</f>
        <v>65003710</v>
      </c>
      <c r="C24" s="220" t="str">
        <f>Custos!G32</f>
        <v>mar/2026</v>
      </c>
      <c r="D24" s="225" t="str">
        <f>Custos!D32</f>
        <v>COPASA</v>
      </c>
      <c r="E24" s="375" t="str">
        <f>Custos!B32</f>
        <v>Mobilização e desmobilização de equipe de topografia</v>
      </c>
      <c r="F24" s="611">
        <f>Custos!J32</f>
        <v>5.32</v>
      </c>
      <c r="G24" s="263" t="str">
        <f>Custos!H32</f>
        <v>km</v>
      </c>
      <c r="H24" s="612">
        <v>0</v>
      </c>
      <c r="I24" s="608">
        <f>ROUND(H24*F24,2)</f>
        <v>0</v>
      </c>
      <c r="J24" s="608">
        <f>ROUND(I24*K!$F$20,2)</f>
        <v>0</v>
      </c>
      <c r="K24" s="228">
        <f>ROUND(J24/$J$45,4)</f>
        <v>0</v>
      </c>
    </row>
    <row r="25" spans="1:11" s="119" customFormat="1">
      <c r="A25" s="220" t="s">
        <v>358</v>
      </c>
      <c r="B25" s="220">
        <f>Custos!E33</f>
        <v>65001667</v>
      </c>
      <c r="C25" s="220" t="str">
        <f>Custos!G33</f>
        <v>mar/2026</v>
      </c>
      <c r="D25" s="225" t="str">
        <f>Custos!D33</f>
        <v>COPASA</v>
      </c>
      <c r="E25" s="375" t="str">
        <f>Custos!B33</f>
        <v>Equipe de topografia de campo</v>
      </c>
      <c r="F25" s="611">
        <f>Custos!J33</f>
        <v>58490.33</v>
      </c>
      <c r="G25" s="263" t="str">
        <f>Custos!H33</f>
        <v>mês</v>
      </c>
      <c r="H25" s="612">
        <v>0</v>
      </c>
      <c r="I25" s="608">
        <f t="shared" ref="I25:I26" si="2">ROUND(H25*F25,2)</f>
        <v>0</v>
      </c>
      <c r="J25" s="608">
        <f>ROUND(I25*K!$F$20,2)</f>
        <v>0</v>
      </c>
      <c r="K25" s="228">
        <f>ROUND(J25/$J$45,4)</f>
        <v>0</v>
      </c>
    </row>
    <row r="26" spans="1:11" s="119" customFormat="1">
      <c r="A26" s="220" t="s">
        <v>361</v>
      </c>
      <c r="B26" s="220">
        <f>Custos!E34</f>
        <v>65001668</v>
      </c>
      <c r="C26" s="220" t="str">
        <f>Custos!G34</f>
        <v>mar/2026</v>
      </c>
      <c r="D26" s="225" t="str">
        <f>Custos!D34</f>
        <v>COPASA</v>
      </c>
      <c r="E26" s="375" t="str">
        <f>Custos!B34</f>
        <v>Equipe de topografia de escritório</v>
      </c>
      <c r="F26" s="611">
        <f>Custos!J34</f>
        <v>31279.74</v>
      </c>
      <c r="G26" s="263" t="str">
        <f>Custos!H34</f>
        <v>mês</v>
      </c>
      <c r="H26" s="612">
        <v>0</v>
      </c>
      <c r="I26" s="608">
        <f t="shared" si="2"/>
        <v>0</v>
      </c>
      <c r="J26" s="608">
        <f>ROUND(I26*K!$F$20,2)</f>
        <v>0</v>
      </c>
      <c r="K26" s="228">
        <f>ROUND(J26/$J$45,4)</f>
        <v>0</v>
      </c>
    </row>
    <row r="27" spans="1:11" ht="10.5" customHeight="1">
      <c r="A27" s="159"/>
      <c r="B27" s="160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63" t="s">
        <v>649</v>
      </c>
      <c r="C28" s="163"/>
      <c r="D28" s="163"/>
      <c r="E28" s="163"/>
      <c r="F28" s="150"/>
      <c r="G28" s="148"/>
      <c r="H28" s="149"/>
      <c r="I28" s="149"/>
      <c r="J28" s="164">
        <f>SUM(J30:J31)</f>
        <v>0</v>
      </c>
      <c r="K28" s="364">
        <f>SUM(K30:K31)</f>
        <v>0</v>
      </c>
    </row>
    <row r="29" spans="1:11" s="119" customFormat="1">
      <c r="A29" s="220" t="s">
        <v>351</v>
      </c>
      <c r="B29" s="220">
        <f>Custos!E27</f>
        <v>65001207</v>
      </c>
      <c r="C29" s="220" t="str">
        <f>Custos!G27</f>
        <v>mar/2026</v>
      </c>
      <c r="D29" s="225" t="str">
        <f>Custos!D27</f>
        <v>COPASA</v>
      </c>
      <c r="E29" s="375" t="str">
        <f>Custos!B27</f>
        <v>Sondagem a percussao - mobilizacao e desmobilizacao</v>
      </c>
      <c r="F29" s="611">
        <f>Custos!J27</f>
        <v>1417.53</v>
      </c>
      <c r="G29" s="263" t="str">
        <f>Custos!H27</f>
        <v>unidade</v>
      </c>
      <c r="H29" s="612">
        <v>0</v>
      </c>
      <c r="I29" s="608">
        <f t="shared" ref="I29:I31" si="3">ROUND(H29*F29,2)</f>
        <v>0</v>
      </c>
      <c r="J29" s="608">
        <f>ROUND(I29*K!$F$20,2)</f>
        <v>0</v>
      </c>
      <c r="K29" s="228">
        <f>ROUND(J29/$J$45,4)</f>
        <v>0</v>
      </c>
    </row>
    <row r="30" spans="1:11" s="119" customFormat="1">
      <c r="A30" s="220" t="s">
        <v>361</v>
      </c>
      <c r="B30" s="220">
        <f>Custos!E28</f>
        <v>65001209</v>
      </c>
      <c r="C30" s="220" t="str">
        <f>Custos!G28</f>
        <v>mar/2026</v>
      </c>
      <c r="D30" s="225" t="str">
        <f>Custos!D28</f>
        <v>COPASA</v>
      </c>
      <c r="E30" s="375" t="str">
        <f>Custos!B28</f>
        <v>Sondagem a percussao - instalacao por furo</v>
      </c>
      <c r="F30" s="611">
        <f>Custos!J28</f>
        <v>506.64</v>
      </c>
      <c r="G30" s="263" t="str">
        <f>Custos!H28</f>
        <v>unidade</v>
      </c>
      <c r="H30" s="612">
        <v>0</v>
      </c>
      <c r="I30" s="608">
        <f t="shared" si="3"/>
        <v>0</v>
      </c>
      <c r="J30" s="608">
        <f>ROUND(I30*K!$F$20,2)</f>
        <v>0</v>
      </c>
      <c r="K30" s="228">
        <f>ROUND(J30/$J$45,4)</f>
        <v>0</v>
      </c>
    </row>
    <row r="31" spans="1:11" s="119" customFormat="1" ht="26.45" customHeight="1">
      <c r="A31" s="220" t="s">
        <v>680</v>
      </c>
      <c r="B31" s="220">
        <f>Custos!E29</f>
        <v>65001210</v>
      </c>
      <c r="C31" s="225" t="str">
        <f>Custos!G29</f>
        <v>mar/2026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611">
        <f>Custos!J29</f>
        <v>155.6</v>
      </c>
      <c r="G31" s="376" t="str">
        <f>Custos!H29</f>
        <v>m</v>
      </c>
      <c r="H31" s="613">
        <v>0</v>
      </c>
      <c r="I31" s="608">
        <f t="shared" si="3"/>
        <v>0</v>
      </c>
      <c r="J31" s="608">
        <f>ROUND(I31*K!$F$20,2)</f>
        <v>0</v>
      </c>
      <c r="K31" s="228">
        <f>ROUND(J31/$J$45,4)</f>
        <v>0</v>
      </c>
    </row>
    <row r="32" spans="1:11" ht="6" customHeight="1">
      <c r="A32" s="152"/>
      <c r="B32" s="152"/>
      <c r="C32" s="152"/>
      <c r="D32" s="152"/>
      <c r="E32" s="153"/>
      <c r="F32" s="154"/>
      <c r="G32" s="177"/>
      <c r="H32" s="156"/>
      <c r="I32" s="155"/>
      <c r="J32" s="155"/>
      <c r="K32" s="184"/>
    </row>
    <row r="33" spans="1:11" s="118" customFormat="1" ht="18" customHeight="1">
      <c r="A33" s="148" t="s">
        <v>70</v>
      </c>
      <c r="B33" s="163" t="s">
        <v>384</v>
      </c>
      <c r="C33" s="163"/>
      <c r="D33" s="163"/>
      <c r="E33" s="163"/>
      <c r="F33" s="150"/>
      <c r="G33" s="148"/>
      <c r="H33" s="149"/>
      <c r="I33" s="149"/>
      <c r="J33" s="164">
        <f>SUM(J34:J35)</f>
        <v>0</v>
      </c>
      <c r="K33" s="364">
        <f>SUM(K34:K35)</f>
        <v>0</v>
      </c>
    </row>
    <row r="34" spans="1:11" s="119" customFormat="1">
      <c r="A34" s="220" t="s">
        <v>351</v>
      </c>
      <c r="B34" s="220">
        <f>Custos!E37</f>
        <v>65001667</v>
      </c>
      <c r="C34" s="220" t="str">
        <f>Custos!G37</f>
        <v>mar/2026</v>
      </c>
      <c r="D34" s="225" t="str">
        <f>Custos!D37</f>
        <v>COPASA</v>
      </c>
      <c r="E34" s="375" t="str">
        <f>Custos!B37</f>
        <v>Equipe de topografia de campo</v>
      </c>
      <c r="F34" s="611">
        <f>Custos!J37</f>
        <v>58490.33</v>
      </c>
      <c r="G34" s="263" t="str">
        <f>Custos!H37</f>
        <v>mês</v>
      </c>
      <c r="H34" s="612">
        <v>0</v>
      </c>
      <c r="I34" s="608">
        <f t="shared" ref="I34:I35" si="4">ROUND(H34*F34,2)</f>
        <v>0</v>
      </c>
      <c r="J34" s="608">
        <f>ROUND(I34*K!$F$20,2)</f>
        <v>0</v>
      </c>
      <c r="K34" s="228">
        <f t="shared" ref="K34:K35" si="5">ROUND(J34/$J$45,4)</f>
        <v>0</v>
      </c>
    </row>
    <row r="35" spans="1:11" s="119" customFormat="1">
      <c r="A35" s="220" t="s">
        <v>358</v>
      </c>
      <c r="B35" s="220">
        <f>Custos!E38</f>
        <v>65001668</v>
      </c>
      <c r="C35" s="220" t="str">
        <f>Custos!G38</f>
        <v>mar/2026</v>
      </c>
      <c r="D35" s="225" t="str">
        <f>Custos!D38</f>
        <v>COPASA</v>
      </c>
      <c r="E35" s="375" t="str">
        <f>Custos!B38</f>
        <v>Equipe de topografia de escritório</v>
      </c>
      <c r="F35" s="611">
        <f>Custos!J38</f>
        <v>31279.74</v>
      </c>
      <c r="G35" s="263" t="str">
        <f>Custos!H38</f>
        <v>mês</v>
      </c>
      <c r="H35" s="612">
        <v>0</v>
      </c>
      <c r="I35" s="608">
        <f t="shared" si="4"/>
        <v>0</v>
      </c>
      <c r="J35" s="608">
        <f>ROUND(I35*K!$F$20,2)</f>
        <v>0</v>
      </c>
      <c r="K35" s="228">
        <f t="shared" si="5"/>
        <v>0</v>
      </c>
    </row>
    <row r="36" spans="1:11" ht="5.0999999999999996" customHeight="1">
      <c r="A36" s="220"/>
      <c r="B36" s="225"/>
      <c r="C36" s="225"/>
      <c r="D36" s="220"/>
      <c r="E36" s="165"/>
      <c r="F36" s="157"/>
      <c r="G36" s="214"/>
      <c r="H36" s="158"/>
      <c r="I36" s="151"/>
      <c r="J36" s="151"/>
      <c r="K36" s="183"/>
    </row>
    <row r="37" spans="1:11" s="118" customFormat="1" ht="18" customHeight="1">
      <c r="A37" s="148" t="s">
        <v>71</v>
      </c>
      <c r="B37" s="163" t="s">
        <v>386</v>
      </c>
      <c r="C37" s="163"/>
      <c r="D37" s="163"/>
      <c r="E37" s="163"/>
      <c r="F37" s="150"/>
      <c r="G37" s="148"/>
      <c r="H37" s="149"/>
      <c r="I37" s="149"/>
      <c r="J37" s="164">
        <f>SUM(J38:J39)</f>
        <v>0</v>
      </c>
      <c r="K37" s="364">
        <f>SUM(K38:K39)</f>
        <v>0</v>
      </c>
    </row>
    <row r="38" spans="1:11" s="119" customFormat="1">
      <c r="A38" s="225" t="s">
        <v>351</v>
      </c>
      <c r="B38" s="225">
        <f>Custos!E43</f>
        <v>65001114</v>
      </c>
      <c r="C38" s="225" t="str">
        <f>Custos!G43</f>
        <v>mar/2026</v>
      </c>
      <c r="D38" s="225" t="str">
        <f>Custos!D43</f>
        <v>COPASA</v>
      </c>
      <c r="E38" s="406" t="str">
        <f>Custos!B43</f>
        <v>Análise fisico-química da água</v>
      </c>
      <c r="F38" s="611">
        <f>Custos!J43</f>
        <v>453.96</v>
      </c>
      <c r="G38" s="225" t="str">
        <f>Custos!H43</f>
        <v>unidade</v>
      </c>
      <c r="H38" s="612">
        <f>Serviços!C17</f>
        <v>0</v>
      </c>
      <c r="I38" s="608">
        <f t="shared" ref="I38:I39" si="6">ROUND(H38*F38,2)</f>
        <v>0</v>
      </c>
      <c r="J38" s="608">
        <f>ROUND(I38*K!$F$20,2)</f>
        <v>0</v>
      </c>
      <c r="K38" s="228">
        <f t="shared" ref="K38:K39" si="7">ROUND(J38/$J$45,4)</f>
        <v>0</v>
      </c>
    </row>
    <row r="39" spans="1:11" s="119" customFormat="1">
      <c r="A39" s="225" t="s">
        <v>358</v>
      </c>
      <c r="B39" s="225">
        <f>Custos!E44</f>
        <v>65001115</v>
      </c>
      <c r="C39" s="225" t="str">
        <f>Custos!G44</f>
        <v>mar/2026</v>
      </c>
      <c r="D39" s="225" t="str">
        <f>Custos!D44</f>
        <v>COPASA</v>
      </c>
      <c r="E39" s="406" t="str">
        <f>Custos!B44</f>
        <v>Analise bactereologica da água</v>
      </c>
      <c r="F39" s="611">
        <f>Custos!J44</f>
        <v>179.28</v>
      </c>
      <c r="G39" s="225" t="str">
        <f>Custos!H44</f>
        <v>unidade</v>
      </c>
      <c r="H39" s="612">
        <f>Serviços!C18</f>
        <v>0</v>
      </c>
      <c r="I39" s="608">
        <f t="shared" si="6"/>
        <v>0</v>
      </c>
      <c r="J39" s="608">
        <f>ROUND(I39*K!$F$20,2)</f>
        <v>0</v>
      </c>
      <c r="K39" s="228">
        <f t="shared" si="7"/>
        <v>0</v>
      </c>
    </row>
    <row r="40" spans="1:11" s="118" customFormat="1" ht="18" customHeight="1">
      <c r="A40" s="354" t="s">
        <v>681</v>
      </c>
      <c r="B40" s="355" t="s">
        <v>682</v>
      </c>
      <c r="C40" s="355"/>
      <c r="D40" s="355"/>
      <c r="E40" s="174"/>
      <c r="F40" s="175"/>
      <c r="G40" s="173"/>
      <c r="H40" s="174"/>
      <c r="I40" s="174"/>
      <c r="J40" s="360">
        <f>J42</f>
        <v>0</v>
      </c>
      <c r="K40" s="349">
        <f>J40/$J$45</f>
        <v>0</v>
      </c>
    </row>
    <row r="41" spans="1:11" ht="5.0999999999999996" customHeight="1">
      <c r="A41" s="356"/>
      <c r="B41" s="160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385</v>
      </c>
      <c r="C42" s="149"/>
      <c r="D42" s="149"/>
      <c r="E42" s="149"/>
      <c r="F42" s="150"/>
      <c r="G42" s="148"/>
      <c r="H42" s="149"/>
      <c r="I42" s="149"/>
      <c r="J42" s="169">
        <f>SUM(J43:J43)</f>
        <v>0</v>
      </c>
      <c r="K42" s="363">
        <f>SUM(K43:K43)</f>
        <v>0</v>
      </c>
    </row>
    <row r="43" spans="1:11" s="119" customFormat="1" ht="96.6">
      <c r="A43" s="220" t="s">
        <v>351</v>
      </c>
      <c r="B43" s="225" t="str">
        <f>Custos!F46</f>
        <v>-</v>
      </c>
      <c r="C43" s="225" t="str">
        <f>Custos!G46</f>
        <v>jan/2026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611">
        <f>'Produto Consolidado'!F43</f>
        <v>1.02</v>
      </c>
      <c r="G43" s="263" t="s">
        <v>683</v>
      </c>
      <c r="H43" s="612">
        <v>0</v>
      </c>
      <c r="I43" s="608">
        <f>ROUND(H43*F43,2)</f>
        <v>0</v>
      </c>
      <c r="J43" s="608">
        <f>ROUND(I43*K!$F$20,2)</f>
        <v>0</v>
      </c>
      <c r="K43" s="228">
        <f>ROUND(J43/$J$45,4)</f>
        <v>0</v>
      </c>
    </row>
    <row r="44" spans="1:11" ht="6" customHeight="1">
      <c r="A44" s="143"/>
      <c r="B44" s="152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80" t="s">
        <v>684</v>
      </c>
      <c r="B45" s="780"/>
      <c r="C45" s="780"/>
      <c r="D45" s="780"/>
      <c r="E45" s="780"/>
      <c r="F45" s="357"/>
      <c r="G45" s="358"/>
      <c r="H45" s="359"/>
      <c r="I45" s="357" t="s">
        <v>685</v>
      </c>
      <c r="J45" s="357">
        <f>ROUND((J7+J14+J21+J40),2)</f>
        <v>13406.73</v>
      </c>
      <c r="K45" s="362">
        <f>K7+K14+K21+K40</f>
        <v>1</v>
      </c>
    </row>
    <row r="46" spans="1:11" ht="6" customHeight="1">
      <c r="A46" s="122"/>
      <c r="B46" s="78"/>
      <c r="C46" s="78"/>
      <c r="D46" s="123"/>
      <c r="E46" s="124"/>
      <c r="F46" s="129"/>
      <c r="G46" s="123"/>
      <c r="H46" s="121"/>
      <c r="I46" s="125"/>
      <c r="J46" s="117"/>
      <c r="K46" s="232"/>
    </row>
    <row r="47" spans="1:11" ht="20.100000000000001" customHeight="1">
      <c r="A47" s="144" t="s">
        <v>297</v>
      </c>
      <c r="B47" s="145"/>
      <c r="C47" s="145"/>
      <c r="D47" s="145"/>
      <c r="E47" s="145"/>
      <c r="F47" s="146"/>
      <c r="G47" s="178"/>
      <c r="H47" s="145"/>
      <c r="I47" s="145"/>
      <c r="J47" s="145"/>
      <c r="K47" s="146"/>
    </row>
    <row r="48" spans="1:11" ht="13.15" customHeight="1">
      <c r="A48" s="147" t="s">
        <v>686</v>
      </c>
      <c r="B48" s="781" t="s">
        <v>687</v>
      </c>
      <c r="C48" s="781"/>
      <c r="D48" s="781"/>
      <c r="E48" s="781"/>
      <c r="F48" s="781"/>
      <c r="G48" s="781"/>
      <c r="H48" s="781"/>
      <c r="I48" s="781"/>
      <c r="J48" s="781"/>
      <c r="K48" s="781"/>
    </row>
    <row r="49" spans="1:11" ht="13.15" customHeight="1">
      <c r="A49" s="147" t="s">
        <v>688</v>
      </c>
      <c r="B49" s="781" t="s">
        <v>689</v>
      </c>
      <c r="C49" s="781"/>
      <c r="D49" s="781"/>
      <c r="E49" s="781"/>
      <c r="F49" s="781"/>
      <c r="G49" s="781"/>
      <c r="H49" s="781"/>
      <c r="I49" s="781"/>
      <c r="J49" s="781"/>
      <c r="K49" s="781"/>
    </row>
    <row r="50" spans="1:11" ht="13.15" customHeight="1">
      <c r="A50" s="147"/>
      <c r="B50" s="280"/>
      <c r="C50" s="280"/>
      <c r="D50" s="280"/>
      <c r="E50" s="280"/>
      <c r="F50" s="280"/>
      <c r="G50" s="280"/>
      <c r="H50" s="280"/>
      <c r="I50" s="280"/>
      <c r="J50" s="280"/>
      <c r="K50" s="280"/>
    </row>
  </sheetData>
  <mergeCells count="5">
    <mergeCell ref="C1:K1"/>
    <mergeCell ref="F6:G6"/>
    <mergeCell ref="A45:E45"/>
    <mergeCell ref="B48:K48"/>
    <mergeCell ref="B49:K49"/>
  </mergeCells>
  <phoneticPr fontId="71" type="noConversion"/>
  <printOptions horizontalCentered="1"/>
  <pageMargins left="0.51181102362204722" right="0.51181102362204722" top="0.59055118110236227" bottom="0.59055118110236227" header="0.31496062992125984" footer="0.31496062992125984"/>
  <pageSetup paperSize="9" scale="61" orientation="portrait" r:id="rId1"/>
  <ignoredErrors>
    <ignoredError sqref="C43" formula="1"/>
  </ignoredError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8" tint="-0.249977111117893"/>
    <pageSetUpPr fitToPage="1"/>
  </sheetPr>
  <dimension ref="A1:M50"/>
  <sheetViews>
    <sheetView showGridLines="0" view="pageBreakPreview" topLeftCell="A6" zoomScaleNormal="100" zoomScaleSheetLayoutView="100" workbookViewId="0">
      <selection activeCell="F10" sqref="F10"/>
    </sheetView>
  </sheetViews>
  <sheetFormatPr defaultColWidth="9.140625" defaultRowHeight="15.6"/>
  <cols>
    <col min="1" max="1" width="5" style="79" customWidth="1"/>
    <col min="2" max="3" width="10" style="79" customWidth="1"/>
    <col min="4" max="4" width="13.8554687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3" ht="35.25" customHeight="1">
      <c r="B1" s="126"/>
      <c r="C1" s="126"/>
      <c r="D1" s="778" t="str">
        <f>'P3'!D1</f>
        <v xml:space="preserve">ORÇAMENTO PARA ELABORAÇÃO DE PROJETOS DE SISTEMA DE ESGOTAMENTO SANITÁRIO </v>
      </c>
      <c r="E1" s="778"/>
      <c r="F1" s="778"/>
      <c r="G1" s="778"/>
      <c r="H1" s="778"/>
      <c r="I1" s="778"/>
      <c r="J1" s="778"/>
      <c r="K1" s="778"/>
    </row>
    <row r="2" spans="1:13" s="118" customFormat="1" ht="15" customHeight="1">
      <c r="A2" s="78" t="s">
        <v>690</v>
      </c>
      <c r="C2" s="81" t="str">
        <f>'Horas trabalhadas'!E8</f>
        <v xml:space="preserve">Cadastro Técnico </v>
      </c>
      <c r="F2" s="128"/>
      <c r="G2" s="176"/>
      <c r="J2" s="115" t="s">
        <v>143</v>
      </c>
      <c r="K2" s="63">
        <f ca="1">'Dados Básicos do município'!H4</f>
        <v>46170</v>
      </c>
    </row>
    <row r="3" spans="1:13" s="118" customFormat="1" ht="15" customHeight="1">
      <c r="A3" s="78" t="s">
        <v>144</v>
      </c>
      <c r="C3" s="81" t="str">
        <f>'Dados Básicos do município'!B5</f>
        <v>CBH-PIRANGA</v>
      </c>
      <c r="F3" s="128"/>
      <c r="G3" s="176"/>
      <c r="K3" s="128"/>
    </row>
    <row r="4" spans="1:13" s="118" customFormat="1" ht="15" customHeight="1">
      <c r="A4" s="78" t="s">
        <v>145</v>
      </c>
      <c r="C4" s="81" t="str">
        <f>'Dados Básicos do município'!B6</f>
        <v>São Miguel do Anta/MG</v>
      </c>
      <c r="F4" s="128"/>
      <c r="G4" s="176"/>
      <c r="J4" s="116"/>
      <c r="K4" s="115"/>
    </row>
    <row r="5" spans="1:13" ht="6" customHeight="1">
      <c r="A5" s="152"/>
      <c r="B5" s="152"/>
      <c r="C5" s="152"/>
      <c r="D5" s="152"/>
      <c r="E5" s="153"/>
      <c r="F5" s="154"/>
      <c r="G5" s="177"/>
      <c r="H5" s="156"/>
      <c r="I5" s="155"/>
      <c r="J5" s="155"/>
      <c r="K5" s="184"/>
    </row>
    <row r="6" spans="1:13" s="130" customFormat="1" ht="47.45" customHeight="1">
      <c r="A6" s="341" t="s">
        <v>670</v>
      </c>
      <c r="B6" s="341" t="s">
        <v>19</v>
      </c>
      <c r="C6" s="341" t="s">
        <v>671</v>
      </c>
      <c r="D6" s="341" t="s">
        <v>672</v>
      </c>
      <c r="E6" s="342" t="s">
        <v>673</v>
      </c>
      <c r="F6" s="779" t="s">
        <v>674</v>
      </c>
      <c r="G6" s="779"/>
      <c r="H6" s="343" t="s">
        <v>675</v>
      </c>
      <c r="I6" s="344" t="s">
        <v>676</v>
      </c>
      <c r="J6" s="344" t="s">
        <v>677</v>
      </c>
      <c r="K6" s="344" t="s">
        <v>678</v>
      </c>
    </row>
    <row r="7" spans="1:13" s="118" customFormat="1" ht="18" customHeight="1">
      <c r="A7" s="345">
        <v>1</v>
      </c>
      <c r="B7" s="346" t="s">
        <v>679</v>
      </c>
      <c r="C7" s="346"/>
      <c r="D7" s="346"/>
      <c r="E7" s="346"/>
      <c r="F7" s="347"/>
      <c r="G7" s="345"/>
      <c r="H7" s="346"/>
      <c r="I7" s="346"/>
      <c r="J7" s="348">
        <f>J9</f>
        <v>8653.2799999999988</v>
      </c>
      <c r="K7" s="349">
        <f>J7/$J$45</f>
        <v>0.12409292341880214</v>
      </c>
    </row>
    <row r="8" spans="1:13" ht="6" customHeight="1">
      <c r="A8" s="152"/>
      <c r="B8" s="152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349</v>
      </c>
      <c r="C9" s="171"/>
      <c r="D9" s="171"/>
      <c r="E9" s="171"/>
      <c r="F9" s="172"/>
      <c r="G9" s="170"/>
      <c r="H9" s="171"/>
      <c r="I9" s="171"/>
      <c r="J9" s="361">
        <f>SUM(J10:J12)</f>
        <v>8653.2799999999988</v>
      </c>
      <c r="K9" s="365">
        <f>SUM(K10:K12)</f>
        <v>0.12409999999999999</v>
      </c>
    </row>
    <row r="10" spans="1:13" s="119" customFormat="1" ht="16.149999999999999" customHeight="1">
      <c r="A10" s="220" t="s">
        <v>351</v>
      </c>
      <c r="B10" s="213" t="str">
        <f>'P1'!B10</f>
        <v>P8061</v>
      </c>
      <c r="C10" s="213" t="str">
        <f>Custos!G13</f>
        <v>jan/2026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131.97</v>
      </c>
      <c r="G10" s="214" t="s">
        <v>356</v>
      </c>
      <c r="H10" s="382">
        <f>'Horas trabalhadas'!E9</f>
        <v>9.69</v>
      </c>
      <c r="I10" s="216">
        <f>ROUND(H10*F10,2)</f>
        <v>1278.79</v>
      </c>
      <c r="J10" s="216">
        <f>ROUND(I10*K!$F$19,2)</f>
        <v>3222.55</v>
      </c>
      <c r="K10" s="228">
        <f>ROUND(J10/$J$45,4)</f>
        <v>4.6199999999999998E-2</v>
      </c>
      <c r="M10" s="120"/>
    </row>
    <row r="11" spans="1:13" s="119" customFormat="1" ht="16.149999999999999" customHeight="1">
      <c r="A11" s="220" t="s">
        <v>358</v>
      </c>
      <c r="B11" s="213" t="str">
        <f>'P1'!B11</f>
        <v>P8066</v>
      </c>
      <c r="C11" s="217" t="str">
        <f>Custos!G14</f>
        <v>jan/2026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99.01</v>
      </c>
      <c r="G11" s="218" t="s">
        <v>356</v>
      </c>
      <c r="H11" s="382">
        <f>'Horas trabalhadas'!E10</f>
        <v>12.92</v>
      </c>
      <c r="I11" s="216">
        <f t="shared" ref="I11:I12" si="0">ROUND(H11*F11,2)</f>
        <v>1279.21</v>
      </c>
      <c r="J11" s="216">
        <f>ROUND(I11*K!$F$19,2)</f>
        <v>3223.61</v>
      </c>
      <c r="K11" s="228">
        <f>ROUND(J11/$J$45,4)</f>
        <v>4.6199999999999998E-2</v>
      </c>
      <c r="M11" s="120"/>
    </row>
    <row r="12" spans="1:13" s="119" customFormat="1" ht="16.149999999999999" customHeight="1">
      <c r="A12" s="220" t="s">
        <v>361</v>
      </c>
      <c r="B12" s="213" t="str">
        <f>'P1'!B12</f>
        <v>P8026</v>
      </c>
      <c r="C12" s="217" t="str">
        <f>Custos!G15</f>
        <v>jan/2026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13.56</v>
      </c>
      <c r="G12" s="218" t="s">
        <v>356</v>
      </c>
      <c r="H12" s="382">
        <f>'Horas trabalhadas'!E11</f>
        <v>64.59</v>
      </c>
      <c r="I12" s="216">
        <f t="shared" si="0"/>
        <v>875.84</v>
      </c>
      <c r="J12" s="216">
        <f>ROUND(I12*K!$F$19,2)</f>
        <v>2207.12</v>
      </c>
      <c r="K12" s="228">
        <f>ROUND(J12/$J$45,4)</f>
        <v>3.1699999999999999E-2</v>
      </c>
      <c r="M12" s="120"/>
    </row>
    <row r="13" spans="1:13" ht="6" customHeight="1">
      <c r="A13" s="152"/>
      <c r="B13" s="152"/>
      <c r="C13" s="152"/>
      <c r="D13" s="152"/>
      <c r="E13" s="153"/>
      <c r="F13" s="154"/>
      <c r="G13" s="177"/>
      <c r="H13" s="156"/>
      <c r="I13" s="155"/>
      <c r="J13" s="155"/>
      <c r="K13" s="184"/>
    </row>
    <row r="14" spans="1:13" s="118" customFormat="1" ht="18" customHeight="1">
      <c r="A14" s="345">
        <v>2</v>
      </c>
      <c r="B14" s="346" t="s">
        <v>365</v>
      </c>
      <c r="C14" s="346"/>
      <c r="D14" s="346"/>
      <c r="E14" s="346"/>
      <c r="F14" s="347"/>
      <c r="G14" s="345"/>
      <c r="H14" s="346"/>
      <c r="I14" s="346"/>
      <c r="J14" s="348">
        <f>J16</f>
        <v>0</v>
      </c>
      <c r="K14" s="349">
        <f>J14/$J$45</f>
        <v>0</v>
      </c>
    </row>
    <row r="15" spans="1:13" ht="5.0999999999999996" customHeight="1">
      <c r="A15" s="159"/>
      <c r="B15" s="160"/>
      <c r="C15" s="160"/>
      <c r="D15" s="161"/>
      <c r="E15" s="162"/>
      <c r="F15" s="157"/>
      <c r="G15" s="151"/>
      <c r="H15" s="158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365</v>
      </c>
      <c r="C16" s="351"/>
      <c r="D16" s="351"/>
      <c r="E16" s="351"/>
      <c r="F16" s="352"/>
      <c r="G16" s="350"/>
      <c r="H16" s="351"/>
      <c r="I16" s="352"/>
      <c r="J16" s="353">
        <f>SUM(J17:J19)</f>
        <v>0</v>
      </c>
      <c r="K16" s="366">
        <f>SUM(K17:K19)</f>
        <v>0</v>
      </c>
    </row>
    <row r="17" spans="1:11" s="119" customFormat="1" ht="16.149999999999999" customHeight="1">
      <c r="A17" s="220" t="s">
        <v>351</v>
      </c>
      <c r="B17" s="213" t="str">
        <f>'P1'!B17</f>
        <v>P8067</v>
      </c>
      <c r="C17" s="213" t="str">
        <f>Custos!G20</f>
        <v>jan/2026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115.11</v>
      </c>
      <c r="G17" s="214" t="s">
        <v>356</v>
      </c>
      <c r="H17" s="382">
        <f>'Horas trabalhadas'!E12</f>
        <v>0</v>
      </c>
      <c r="I17" s="216">
        <f t="shared" ref="I17:I19" si="1">ROUND(H17*F17,2)</f>
        <v>0</v>
      </c>
      <c r="J17" s="216">
        <f>ROUND(I17*K!$F$19,2)</f>
        <v>0</v>
      </c>
      <c r="K17" s="227">
        <f>ROUND(J17/$J$45,4)</f>
        <v>0</v>
      </c>
    </row>
    <row r="18" spans="1:11" s="119" customFormat="1" ht="16.149999999999999" customHeight="1">
      <c r="A18" s="220" t="s">
        <v>358</v>
      </c>
      <c r="B18" s="213" t="str">
        <f>'P1'!B18</f>
        <v>P8067</v>
      </c>
      <c r="C18" s="213" t="str">
        <f>Custos!G21</f>
        <v>jan/2026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115.11</v>
      </c>
      <c r="G18" s="214" t="s">
        <v>356</v>
      </c>
      <c r="H18" s="382">
        <f>'Horas trabalhadas'!E13</f>
        <v>0</v>
      </c>
      <c r="I18" s="216">
        <f t="shared" si="1"/>
        <v>0</v>
      </c>
      <c r="J18" s="216">
        <f>ROUND(I18*K!$F$19,2)</f>
        <v>0</v>
      </c>
      <c r="K18" s="227">
        <f>ROUND(J18/$J$45,4)</f>
        <v>0</v>
      </c>
    </row>
    <row r="19" spans="1:11" s="119" customFormat="1" ht="16.149999999999999" customHeight="1">
      <c r="A19" s="220" t="s">
        <v>361</v>
      </c>
      <c r="B19" s="213" t="str">
        <f>'P1'!B19</f>
        <v>P8059</v>
      </c>
      <c r="C19" s="213" t="str">
        <f>Custos!G22</f>
        <v>jan/2026</v>
      </c>
      <c r="D19" s="218" t="str">
        <f>Custos!D22</f>
        <v>DNIT</v>
      </c>
      <c r="E19" s="215" t="str">
        <f>Custos!B22</f>
        <v>Engenheiro ambiental</v>
      </c>
      <c r="F19" s="216">
        <f>Custos!J22</f>
        <v>120.83</v>
      </c>
      <c r="G19" s="214" t="s">
        <v>356</v>
      </c>
      <c r="H19" s="382">
        <f>'Horas trabalhadas'!E14</f>
        <v>0</v>
      </c>
      <c r="I19" s="216">
        <f t="shared" si="1"/>
        <v>0</v>
      </c>
      <c r="J19" s="216">
        <f>ROUND(I19*K!$F$19,2)</f>
        <v>0</v>
      </c>
      <c r="K19" s="227">
        <f>ROUND(J19/$J$45,4)</f>
        <v>0</v>
      </c>
    </row>
    <row r="20" spans="1:11" ht="6" customHeight="1">
      <c r="A20" s="152"/>
      <c r="B20" s="152"/>
      <c r="C20" s="152"/>
      <c r="D20" s="152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355" t="s">
        <v>138</v>
      </c>
      <c r="C21" s="355"/>
      <c r="D21" s="355"/>
      <c r="E21" s="174"/>
      <c r="F21" s="175"/>
      <c r="G21" s="173"/>
      <c r="H21" s="174"/>
      <c r="I21" s="174"/>
      <c r="J21" s="360">
        <f>J23+J28+J33+J37</f>
        <v>55692.71</v>
      </c>
      <c r="K21" s="349">
        <f>J21/$J$45</f>
        <v>0.79866492208914497</v>
      </c>
    </row>
    <row r="22" spans="1:11" ht="5.0999999999999996" customHeight="1">
      <c r="A22" s="159"/>
      <c r="B22" s="160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379</v>
      </c>
      <c r="C23" s="171"/>
      <c r="D23" s="171"/>
      <c r="E23" s="171"/>
      <c r="F23" s="172"/>
      <c r="G23" s="170"/>
      <c r="H23" s="171"/>
      <c r="I23" s="171"/>
      <c r="J23" s="361">
        <f>SUM(J24:J26)</f>
        <v>0</v>
      </c>
      <c r="K23" s="365">
        <f>SUM(K24:K26)</f>
        <v>0</v>
      </c>
    </row>
    <row r="24" spans="1:11" s="119" customFormat="1">
      <c r="A24" s="220" t="s">
        <v>351</v>
      </c>
      <c r="B24" s="220">
        <f>'P1'!B24</f>
        <v>65003710</v>
      </c>
      <c r="C24" s="220" t="str">
        <f>Custos!G32</f>
        <v>mar/2026</v>
      </c>
      <c r="D24" s="225" t="str">
        <f>Custos!D32</f>
        <v>COPASA</v>
      </c>
      <c r="E24" s="375" t="str">
        <f>Custos!B32</f>
        <v>Mobilização e desmobilização de equipe de topografia</v>
      </c>
      <c r="F24" s="222">
        <f>Custos!J32</f>
        <v>5.32</v>
      </c>
      <c r="G24" s="263" t="str">
        <f>Custos!H32</f>
        <v>km</v>
      </c>
      <c r="H24" s="263">
        <f>Serviços!E9</f>
        <v>0</v>
      </c>
      <c r="I24" s="216">
        <f>ROUND(H24*F24,2)</f>
        <v>0</v>
      </c>
      <c r="J24" s="216">
        <f>ROUND(I24*K!$F$20,2)</f>
        <v>0</v>
      </c>
      <c r="K24" s="228">
        <f>ROUND(J24/$J$45,4)</f>
        <v>0</v>
      </c>
    </row>
    <row r="25" spans="1:11" s="119" customFormat="1">
      <c r="A25" s="220" t="s">
        <v>358</v>
      </c>
      <c r="B25" s="220">
        <f>'P1'!B25</f>
        <v>65001667</v>
      </c>
      <c r="C25" s="220" t="str">
        <f>Custos!G33</f>
        <v>mar/2026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58490.33</v>
      </c>
      <c r="G25" s="263" t="str">
        <f>Custos!H33</f>
        <v>mês</v>
      </c>
      <c r="H25" s="263">
        <f>Serviços!E10</f>
        <v>0</v>
      </c>
      <c r="I25" s="216">
        <f t="shared" ref="I25:I26" si="2">ROUND(H25*F25,2)</f>
        <v>0</v>
      </c>
      <c r="J25" s="216">
        <f>ROUND(I25*K!$F$20,2)</f>
        <v>0</v>
      </c>
      <c r="K25" s="228">
        <f>ROUND(J25/$J$45,4)</f>
        <v>0</v>
      </c>
    </row>
    <row r="26" spans="1:11" s="119" customFormat="1">
      <c r="A26" s="220" t="s">
        <v>361</v>
      </c>
      <c r="B26" s="220">
        <f>'P1'!B26</f>
        <v>65001668</v>
      </c>
      <c r="C26" s="220" t="str">
        <f>Custos!G34</f>
        <v>mar/2026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31279.74</v>
      </c>
      <c r="G26" s="263" t="str">
        <f>Custos!H34</f>
        <v>mês</v>
      </c>
      <c r="H26" s="263">
        <f>Serviços!E11</f>
        <v>0</v>
      </c>
      <c r="I26" s="216">
        <f t="shared" si="2"/>
        <v>0</v>
      </c>
      <c r="J26" s="216">
        <f>ROUND(I26*K!$F$20,2)</f>
        <v>0</v>
      </c>
      <c r="K26" s="228">
        <f>ROUND(J26/$J$45,4)</f>
        <v>0</v>
      </c>
    </row>
    <row r="27" spans="1:11" ht="10.5" customHeight="1">
      <c r="A27" s="159"/>
      <c r="B27" s="160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63" t="s">
        <v>649</v>
      </c>
      <c r="C28" s="163"/>
      <c r="D28" s="163"/>
      <c r="E28" s="163"/>
      <c r="F28" s="150"/>
      <c r="G28" s="148"/>
      <c r="H28" s="149"/>
      <c r="I28" s="149"/>
      <c r="J28" s="164">
        <f>SUM(J29:J31)</f>
        <v>0</v>
      </c>
      <c r="K28" s="364">
        <f>SUM(K30:K30)</f>
        <v>0</v>
      </c>
    </row>
    <row r="29" spans="1:11" s="119" customFormat="1">
      <c r="A29" s="220" t="s">
        <v>351</v>
      </c>
      <c r="B29" s="220">
        <f>'P1'!B29</f>
        <v>65001207</v>
      </c>
      <c r="C29" s="220" t="str">
        <f>Custos!G27</f>
        <v>mar/2026</v>
      </c>
      <c r="D29" s="225" t="str">
        <f>Custos!D27</f>
        <v>COPASA</v>
      </c>
      <c r="E29" s="375" t="str">
        <f>Custos!B27</f>
        <v>Sondagem a percussao - mobilizacao e desmobilizacao</v>
      </c>
      <c r="F29" s="222">
        <f>Custos!J27</f>
        <v>1417.53</v>
      </c>
      <c r="G29" s="263" t="str">
        <f>Custos!H27</f>
        <v>unidade</v>
      </c>
      <c r="H29" s="263">
        <f>Serviços!E14</f>
        <v>0</v>
      </c>
      <c r="I29" s="216">
        <f t="shared" ref="I29:I31" si="3">ROUND(H29*F29,2)</f>
        <v>0</v>
      </c>
      <c r="J29" s="216">
        <f>ROUND(I29*K!$F$20,2)</f>
        <v>0</v>
      </c>
      <c r="K29" s="228">
        <f>ROUND(J29/$J$45,4)</f>
        <v>0</v>
      </c>
    </row>
    <row r="30" spans="1:11" s="119" customFormat="1">
      <c r="A30" s="220" t="s">
        <v>361</v>
      </c>
      <c r="B30" s="220">
        <f>'P1'!B30</f>
        <v>65001209</v>
      </c>
      <c r="C30" s="220" t="str">
        <f>Custos!G28</f>
        <v>mar/2026</v>
      </c>
      <c r="D30" s="225" t="str">
        <f>Custos!D28</f>
        <v>COPASA</v>
      </c>
      <c r="E30" s="375" t="str">
        <f>Custos!B28</f>
        <v>Sondagem a percussao - instalacao por furo</v>
      </c>
      <c r="F30" s="222">
        <f>Custos!J28</f>
        <v>506.64</v>
      </c>
      <c r="G30" s="263" t="str">
        <f>Custos!H28</f>
        <v>unidade</v>
      </c>
      <c r="H30" s="263">
        <f>Serviços!E15</f>
        <v>0</v>
      </c>
      <c r="I30" s="216">
        <f t="shared" si="3"/>
        <v>0</v>
      </c>
      <c r="J30" s="216">
        <f>ROUND(I30*K!$F$20,2)</f>
        <v>0</v>
      </c>
      <c r="K30" s="228">
        <f>ROUND(J30/$J$45,4)</f>
        <v>0</v>
      </c>
    </row>
    <row r="31" spans="1:11" s="119" customFormat="1" ht="26.45" customHeight="1">
      <c r="A31" s="220" t="s">
        <v>680</v>
      </c>
      <c r="B31" s="220">
        <f>'P1'!B31</f>
        <v>65001210</v>
      </c>
      <c r="C31" s="224" t="str">
        <f>Custos!G29</f>
        <v>mar/2026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155.6</v>
      </c>
      <c r="G31" s="376" t="str">
        <f>Custos!H29</f>
        <v>m</v>
      </c>
      <c r="H31" s="263">
        <f>Serviços!E16</f>
        <v>0</v>
      </c>
      <c r="I31" s="216">
        <f t="shared" si="3"/>
        <v>0</v>
      </c>
      <c r="J31" s="216">
        <f>ROUND(I31*K!$F$20,2)</f>
        <v>0</v>
      </c>
      <c r="K31" s="228">
        <f>ROUND(J31/$J$45,4)</f>
        <v>0</v>
      </c>
    </row>
    <row r="32" spans="1:11" ht="6" customHeight="1">
      <c r="A32" s="152"/>
      <c r="B32" s="152"/>
      <c r="C32" s="152"/>
      <c r="D32" s="152"/>
      <c r="E32" s="153"/>
      <c r="F32" s="154"/>
      <c r="G32" s="177"/>
      <c r="H32" s="156"/>
      <c r="I32" s="155"/>
      <c r="J32" s="155"/>
      <c r="K32" s="184"/>
    </row>
    <row r="33" spans="1:11" s="118" customFormat="1" ht="18" customHeight="1">
      <c r="A33" s="148" t="s">
        <v>70</v>
      </c>
      <c r="B33" s="163" t="s">
        <v>384</v>
      </c>
      <c r="C33" s="163"/>
      <c r="D33" s="163"/>
      <c r="E33" s="163"/>
      <c r="F33" s="150"/>
      <c r="G33" s="148"/>
      <c r="H33" s="149"/>
      <c r="I33" s="149"/>
      <c r="J33" s="164">
        <f>SUM(J34:J35)</f>
        <v>55692.71</v>
      </c>
      <c r="K33" s="364">
        <f>SUM(K34:K35)</f>
        <v>0.79869999999999997</v>
      </c>
    </row>
    <row r="34" spans="1:11" s="119" customFormat="1">
      <c r="A34" s="220" t="s">
        <v>351</v>
      </c>
      <c r="B34" s="220">
        <f>'P1'!B34</f>
        <v>65001667</v>
      </c>
      <c r="C34" s="220" t="str">
        <f>Custos!G37</f>
        <v>mar/2026</v>
      </c>
      <c r="D34" s="225" t="str">
        <f>Custos!D37</f>
        <v>COPASA</v>
      </c>
      <c r="E34" s="375" t="str">
        <f>Custos!B37</f>
        <v>Equipe de topografia de campo</v>
      </c>
      <c r="F34" s="222">
        <f>Custos!J37</f>
        <v>58490.33</v>
      </c>
      <c r="G34" s="263" t="str">
        <f>Custos!H37</f>
        <v>mês</v>
      </c>
      <c r="H34" s="263">
        <f>Serviços!E12</f>
        <v>0.6</v>
      </c>
      <c r="I34" s="216">
        <f t="shared" ref="I34:I35" si="4">ROUND(H34*F34,2)</f>
        <v>35094.199999999997</v>
      </c>
      <c r="J34" s="216">
        <f>ROUND(I34*K!$F$20,2)</f>
        <v>44569.63</v>
      </c>
      <c r="K34" s="228">
        <f t="shared" ref="K34:K35" si="5">ROUND(J34/$J$45,4)</f>
        <v>0.63919999999999999</v>
      </c>
    </row>
    <row r="35" spans="1:11" s="119" customFormat="1">
      <c r="A35" s="220" t="s">
        <v>358</v>
      </c>
      <c r="B35" s="220">
        <f>'P1'!B35</f>
        <v>65001668</v>
      </c>
      <c r="C35" s="220" t="str">
        <f>Custos!G38</f>
        <v>mar/2026</v>
      </c>
      <c r="D35" s="225" t="str">
        <f>Custos!D38</f>
        <v>COPASA</v>
      </c>
      <c r="E35" s="375" t="str">
        <f>Custos!B38</f>
        <v>Equipe de topografia de escritório</v>
      </c>
      <c r="F35" s="222">
        <f>Custos!J38</f>
        <v>31279.74</v>
      </c>
      <c r="G35" s="263" t="str">
        <f>Custos!H38</f>
        <v>mês</v>
      </c>
      <c r="H35" s="263">
        <f>Serviços!E13</f>
        <v>0.28000000000000003</v>
      </c>
      <c r="I35" s="216">
        <f t="shared" si="4"/>
        <v>8758.33</v>
      </c>
      <c r="J35" s="216">
        <f>ROUND(I35*K!$F$20,2)</f>
        <v>11123.08</v>
      </c>
      <c r="K35" s="228">
        <f t="shared" si="5"/>
        <v>0.1595</v>
      </c>
    </row>
    <row r="36" spans="1:11" ht="5.0999999999999996" customHeight="1">
      <c r="A36" s="220"/>
      <c r="B36" s="225"/>
      <c r="C36" s="225"/>
      <c r="D36" s="220"/>
      <c r="E36" s="165"/>
      <c r="F36" s="157"/>
      <c r="G36" s="214"/>
      <c r="H36" s="158"/>
      <c r="I36" s="151"/>
      <c r="J36" s="151"/>
      <c r="K36" s="183"/>
    </row>
    <row r="37" spans="1:11" s="118" customFormat="1" ht="18" customHeight="1">
      <c r="A37" s="148" t="s">
        <v>71</v>
      </c>
      <c r="B37" s="163" t="s">
        <v>386</v>
      </c>
      <c r="C37" s="163"/>
      <c r="D37" s="163"/>
      <c r="E37" s="163"/>
      <c r="F37" s="150"/>
      <c r="G37" s="148"/>
      <c r="H37" s="149"/>
      <c r="I37" s="149"/>
      <c r="J37" s="164">
        <f>SUM(J38:J39)</f>
        <v>0</v>
      </c>
      <c r="K37" s="364">
        <f>SUM(K38:K39)</f>
        <v>0</v>
      </c>
    </row>
    <row r="38" spans="1:11" s="119" customFormat="1">
      <c r="A38" s="225" t="s">
        <v>351</v>
      </c>
      <c r="B38" s="225">
        <f>Custos!E43</f>
        <v>65001114</v>
      </c>
      <c r="C38" s="225" t="str">
        <f>Custos!G43</f>
        <v>mar/2026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453.96</v>
      </c>
      <c r="G38" s="225" t="str">
        <f>Custos!H43</f>
        <v>unidade</v>
      </c>
      <c r="H38" s="263">
        <f>Serviços!E17</f>
        <v>0</v>
      </c>
      <c r="I38" s="216">
        <f t="shared" ref="I38:I39" si="6">ROUND(H38*F38,2)</f>
        <v>0</v>
      </c>
      <c r="J38" s="216">
        <f>ROUND(I38*K!$F$20,2)</f>
        <v>0</v>
      </c>
      <c r="K38" s="228">
        <f t="shared" ref="K38:K39" si="7">ROUND(J38/$J$45,4)</f>
        <v>0</v>
      </c>
    </row>
    <row r="39" spans="1:11" s="119" customFormat="1">
      <c r="A39" s="225" t="s">
        <v>358</v>
      </c>
      <c r="B39" s="225">
        <f>Custos!E44</f>
        <v>65001115</v>
      </c>
      <c r="C39" s="225" t="str">
        <f>Custos!G44</f>
        <v>mar/2026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179.28</v>
      </c>
      <c r="G39" s="225" t="str">
        <f>Custos!H44</f>
        <v>unidade</v>
      </c>
      <c r="H39" s="263">
        <f>Serviços!E18</f>
        <v>0</v>
      </c>
      <c r="I39" s="216">
        <f t="shared" si="6"/>
        <v>0</v>
      </c>
      <c r="J39" s="216">
        <f>ROUND(I39*K!$F$20,2)</f>
        <v>0</v>
      </c>
      <c r="K39" s="228">
        <f t="shared" si="7"/>
        <v>0</v>
      </c>
    </row>
    <row r="40" spans="1:11" s="118" customFormat="1" ht="18" customHeight="1">
      <c r="A40" s="354" t="s">
        <v>681</v>
      </c>
      <c r="B40" s="355" t="s">
        <v>682</v>
      </c>
      <c r="C40" s="355"/>
      <c r="D40" s="355"/>
      <c r="E40" s="174"/>
      <c r="F40" s="175"/>
      <c r="G40" s="173"/>
      <c r="H40" s="174"/>
      <c r="I40" s="174"/>
      <c r="J40" s="360">
        <f>J42</f>
        <v>5386.27</v>
      </c>
      <c r="K40" s="349">
        <f>J40/$J$45</f>
        <v>7.7242154492052906E-2</v>
      </c>
    </row>
    <row r="41" spans="1:11" ht="5.0999999999999996" customHeight="1">
      <c r="A41" s="356"/>
      <c r="B41" s="160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385</v>
      </c>
      <c r="C42" s="149"/>
      <c r="D42" s="149"/>
      <c r="E42" s="149"/>
      <c r="F42" s="150"/>
      <c r="G42" s="148"/>
      <c r="H42" s="149"/>
      <c r="I42" s="149"/>
      <c r="J42" s="169">
        <f>SUM(J43:J43)</f>
        <v>5386.27</v>
      </c>
      <c r="K42" s="363">
        <f>SUM(K43:K43)</f>
        <v>7.7200000000000005E-2</v>
      </c>
    </row>
    <row r="43" spans="1:11" s="119" customFormat="1" ht="96.6">
      <c r="A43" s="220" t="s">
        <v>351</v>
      </c>
      <c r="B43" s="225" t="str">
        <f>Custos!F46</f>
        <v>-</v>
      </c>
      <c r="C43" s="225" t="str">
        <f>Custos!G46</f>
        <v>jan/2026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Custos!J46</f>
        <v>1.02</v>
      </c>
      <c r="G43" s="263" t="str">
        <f>'P1'!G43</f>
        <v>R$/dia</v>
      </c>
      <c r="H43" s="263">
        <f>Deslocamento!E19*Deslocamento!F19</f>
        <v>4158</v>
      </c>
      <c r="I43" s="216">
        <f>ROUND(H43*F43,2)</f>
        <v>4241.16</v>
      </c>
      <c r="J43" s="216">
        <f>ROUND(I43*K!$F$20,2)</f>
        <v>5386.27</v>
      </c>
      <c r="K43" s="228">
        <f>ROUND(J43/$J$45,4)</f>
        <v>7.7200000000000005E-2</v>
      </c>
    </row>
    <row r="44" spans="1:11" ht="6" customHeight="1">
      <c r="A44" s="143"/>
      <c r="B44" s="152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80" t="s">
        <v>684</v>
      </c>
      <c r="B45" s="780"/>
      <c r="C45" s="780"/>
      <c r="D45" s="780"/>
      <c r="E45" s="780"/>
      <c r="F45" s="357"/>
      <c r="G45" s="358"/>
      <c r="H45" s="359"/>
      <c r="I45" s="357" t="s">
        <v>685</v>
      </c>
      <c r="J45" s="357">
        <f>ROUND((J7+J14+J21+J40),2)</f>
        <v>69732.259999999995</v>
      </c>
      <c r="K45" s="362">
        <f>K7+K14+K21+K40</f>
        <v>1</v>
      </c>
    </row>
    <row r="46" spans="1:11" ht="6" customHeight="1">
      <c r="A46" s="122"/>
      <c r="B46" s="78"/>
      <c r="C46" s="78"/>
      <c r="D46" s="123"/>
      <c r="E46" s="124"/>
      <c r="F46" s="129"/>
      <c r="G46" s="123"/>
      <c r="H46" s="121"/>
      <c r="I46" s="125"/>
      <c r="J46" s="117"/>
      <c r="K46" s="232"/>
    </row>
    <row r="47" spans="1:11" ht="20.100000000000001" customHeight="1">
      <c r="A47" s="144" t="s">
        <v>297</v>
      </c>
      <c r="B47" s="145"/>
      <c r="C47" s="145"/>
      <c r="D47" s="145"/>
      <c r="E47" s="145"/>
      <c r="F47" s="146"/>
      <c r="G47" s="178"/>
      <c r="H47" s="145"/>
      <c r="I47" s="145"/>
      <c r="J47" s="145"/>
      <c r="K47" s="146"/>
    </row>
    <row r="48" spans="1:11" ht="13.15" customHeight="1">
      <c r="A48" s="147" t="s">
        <v>686</v>
      </c>
      <c r="B48" s="781" t="s">
        <v>687</v>
      </c>
      <c r="C48" s="781"/>
      <c r="D48" s="781"/>
      <c r="E48" s="781"/>
      <c r="F48" s="781"/>
      <c r="G48" s="781"/>
      <c r="H48" s="781"/>
      <c r="I48" s="781"/>
      <c r="J48" s="781"/>
      <c r="K48" s="781"/>
    </row>
    <row r="49" spans="1:11" ht="13.15" customHeight="1">
      <c r="A49" s="147" t="s">
        <v>688</v>
      </c>
      <c r="B49" s="781" t="s">
        <v>689</v>
      </c>
      <c r="C49" s="781"/>
      <c r="D49" s="781"/>
      <c r="E49" s="781"/>
      <c r="F49" s="781"/>
      <c r="G49" s="781"/>
      <c r="H49" s="781"/>
      <c r="I49" s="781"/>
      <c r="J49" s="781"/>
      <c r="K49" s="781"/>
    </row>
    <row r="50" spans="1:11" ht="13.15" customHeight="1">
      <c r="A50" s="147"/>
      <c r="B50" s="280"/>
      <c r="C50" s="280"/>
      <c r="D50" s="280"/>
      <c r="E50" s="280"/>
      <c r="F50" s="280"/>
      <c r="G50" s="280"/>
      <c r="H50" s="280"/>
      <c r="I50" s="280"/>
      <c r="J50" s="280"/>
      <c r="K50" s="280"/>
    </row>
  </sheetData>
  <mergeCells count="5">
    <mergeCell ref="D1:K1"/>
    <mergeCell ref="F6:G6"/>
    <mergeCell ref="A45:E45"/>
    <mergeCell ref="B48:K48"/>
    <mergeCell ref="B49:K49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1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8" tint="-0.249977111117893"/>
    <pageSetUpPr fitToPage="1"/>
  </sheetPr>
  <dimension ref="A1:M51"/>
  <sheetViews>
    <sheetView showGridLines="0" view="pageBreakPreview" zoomScaleNormal="100" zoomScaleSheetLayoutView="100" workbookViewId="0">
      <selection activeCell="K43" sqref="K43"/>
    </sheetView>
  </sheetViews>
  <sheetFormatPr defaultColWidth="9.140625" defaultRowHeight="15.6"/>
  <cols>
    <col min="1" max="1" width="5" style="79" customWidth="1"/>
    <col min="2" max="3" width="10" style="79" customWidth="1"/>
    <col min="4" max="4" width="16.2851562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3" ht="35.25" customHeight="1">
      <c r="B1" s="126"/>
      <c r="C1" s="126"/>
      <c r="D1" s="778" t="str">
        <f>'P1'!C1</f>
        <v xml:space="preserve">ORÇAMENTO PARA ELABORAÇÃO DE PROJETOS DE SISTEMA DE ESGOTAMENTO SANITÁRIO </v>
      </c>
      <c r="E1" s="778"/>
      <c r="F1" s="778"/>
      <c r="G1" s="778"/>
      <c r="H1" s="778"/>
      <c r="I1" s="778"/>
      <c r="J1" s="778"/>
      <c r="K1" s="778"/>
    </row>
    <row r="2" spans="1:13" s="118" customFormat="1" ht="15" customHeight="1">
      <c r="A2" s="78" t="s">
        <v>691</v>
      </c>
      <c r="C2" s="81" t="str">
        <f>'Horas trabalhadas'!D8</f>
        <v>Estudos Topográficos</v>
      </c>
      <c r="F2" s="128"/>
      <c r="G2" s="176"/>
      <c r="J2" s="115" t="s">
        <v>143</v>
      </c>
      <c r="K2" s="63">
        <f ca="1">'Dados Básicos do município'!H4</f>
        <v>46170</v>
      </c>
    </row>
    <row r="3" spans="1:13" s="118" customFormat="1" ht="15" customHeight="1">
      <c r="A3" s="78" t="s">
        <v>144</v>
      </c>
      <c r="C3" s="81" t="str">
        <f>'Dados Básicos do município'!B5</f>
        <v>CBH-PIRANGA</v>
      </c>
      <c r="F3" s="128"/>
      <c r="G3" s="176"/>
      <c r="K3" s="128"/>
    </row>
    <row r="4" spans="1:13" s="118" customFormat="1" ht="15" customHeight="1">
      <c r="A4" s="78" t="s">
        <v>145</v>
      </c>
      <c r="C4" s="81" t="str">
        <f>'Dados Básicos do município'!B6</f>
        <v>São Miguel do Anta/MG</v>
      </c>
      <c r="F4" s="128"/>
      <c r="G4" s="176"/>
      <c r="J4" s="116"/>
      <c r="K4" s="115"/>
    </row>
    <row r="5" spans="1:13" ht="6" customHeight="1">
      <c r="A5" s="152"/>
      <c r="B5" s="152"/>
      <c r="C5" s="152"/>
      <c r="D5" s="152"/>
      <c r="E5" s="153"/>
      <c r="F5" s="154"/>
      <c r="G5" s="177"/>
      <c r="H5" s="156"/>
      <c r="I5" s="155"/>
      <c r="J5" s="155"/>
      <c r="K5" s="184"/>
    </row>
    <row r="6" spans="1:13" s="130" customFormat="1" ht="47.45" customHeight="1">
      <c r="A6" s="341" t="s">
        <v>670</v>
      </c>
      <c r="B6" s="341" t="s">
        <v>19</v>
      </c>
      <c r="C6" s="341" t="s">
        <v>671</v>
      </c>
      <c r="D6" s="341" t="s">
        <v>672</v>
      </c>
      <c r="E6" s="342" t="s">
        <v>673</v>
      </c>
      <c r="F6" s="779" t="s">
        <v>674</v>
      </c>
      <c r="G6" s="779"/>
      <c r="H6" s="343" t="s">
        <v>675</v>
      </c>
      <c r="I6" s="344" t="s">
        <v>676</v>
      </c>
      <c r="J6" s="344" t="s">
        <v>677</v>
      </c>
      <c r="K6" s="344" t="s">
        <v>678</v>
      </c>
    </row>
    <row r="7" spans="1:13" s="118" customFormat="1" ht="18" customHeight="1">
      <c r="A7" s="345">
        <v>1</v>
      </c>
      <c r="B7" s="346" t="s">
        <v>679</v>
      </c>
      <c r="C7" s="346"/>
      <c r="D7" s="346"/>
      <c r="E7" s="346"/>
      <c r="F7" s="347"/>
      <c r="G7" s="345"/>
      <c r="H7" s="346"/>
      <c r="I7" s="346"/>
      <c r="J7" s="348">
        <f>J9</f>
        <v>8653.2799999999988</v>
      </c>
      <c r="K7" s="349">
        <f>J7/$J$45</f>
        <v>0.21861853121800914</v>
      </c>
    </row>
    <row r="8" spans="1:13" ht="6" customHeight="1">
      <c r="A8" s="152"/>
      <c r="B8" s="152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349</v>
      </c>
      <c r="C9" s="171"/>
      <c r="D9" s="171"/>
      <c r="E9" s="171"/>
      <c r="F9" s="172"/>
      <c r="G9" s="170"/>
      <c r="H9" s="171"/>
      <c r="I9" s="171"/>
      <c r="J9" s="361">
        <f>SUM(J10:J12)</f>
        <v>8653.2799999999988</v>
      </c>
      <c r="K9" s="365">
        <f>SUM(K10:K12)</f>
        <v>0.21860000000000002</v>
      </c>
    </row>
    <row r="10" spans="1:13" s="119" customFormat="1" ht="16.149999999999999" customHeight="1">
      <c r="A10" s="220" t="s">
        <v>351</v>
      </c>
      <c r="B10" s="213" t="str">
        <f>'P1'!B10</f>
        <v>P8061</v>
      </c>
      <c r="C10" s="213" t="str">
        <f>Custos!G13</f>
        <v>jan/2026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131.97</v>
      </c>
      <c r="G10" s="214" t="s">
        <v>356</v>
      </c>
      <c r="H10" s="382">
        <f>'Horas trabalhadas'!D9</f>
        <v>9.69</v>
      </c>
      <c r="I10" s="216">
        <f>ROUND(H10*F10,2)</f>
        <v>1278.79</v>
      </c>
      <c r="J10" s="216">
        <f>ROUND(I10*K!$F$19,2)</f>
        <v>3222.55</v>
      </c>
      <c r="K10" s="228">
        <f>ROUND(J10/$J$45,4)</f>
        <v>8.14E-2</v>
      </c>
      <c r="M10" s="120"/>
    </row>
    <row r="11" spans="1:13" s="119" customFormat="1" ht="16.149999999999999" customHeight="1">
      <c r="A11" s="220" t="s">
        <v>358</v>
      </c>
      <c r="B11" s="213" t="str">
        <f>'P1'!B11</f>
        <v>P8066</v>
      </c>
      <c r="C11" s="217" t="str">
        <f>Custos!G14</f>
        <v>jan/2026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99.01</v>
      </c>
      <c r="G11" s="218" t="s">
        <v>356</v>
      </c>
      <c r="H11" s="382">
        <f>'Horas trabalhadas'!D10</f>
        <v>12.92</v>
      </c>
      <c r="I11" s="216">
        <f t="shared" ref="I11:I12" si="0">ROUND(H11*F11,2)</f>
        <v>1279.21</v>
      </c>
      <c r="J11" s="216">
        <f>ROUND(I11*K!$F$19,2)</f>
        <v>3223.61</v>
      </c>
      <c r="K11" s="228">
        <f>ROUND(J11/$J$45,4)</f>
        <v>8.14E-2</v>
      </c>
      <c r="M11" s="120"/>
    </row>
    <row r="12" spans="1:13" s="119" customFormat="1" ht="16.149999999999999" customHeight="1">
      <c r="A12" s="220" t="s">
        <v>361</v>
      </c>
      <c r="B12" s="213" t="str">
        <f>'P1'!B12</f>
        <v>P8026</v>
      </c>
      <c r="C12" s="217" t="str">
        <f>Custos!G15</f>
        <v>jan/2026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13.56</v>
      </c>
      <c r="G12" s="218" t="s">
        <v>356</v>
      </c>
      <c r="H12" s="382">
        <f>'Horas trabalhadas'!D11</f>
        <v>64.59</v>
      </c>
      <c r="I12" s="216">
        <f t="shared" si="0"/>
        <v>875.84</v>
      </c>
      <c r="J12" s="216">
        <f>ROUND(I12*K!$F$19,2)</f>
        <v>2207.12</v>
      </c>
      <c r="K12" s="228">
        <f>ROUND(J12/$J$45,4)</f>
        <v>5.5800000000000002E-2</v>
      </c>
      <c r="M12" s="120"/>
    </row>
    <row r="13" spans="1:13" ht="6" customHeight="1">
      <c r="A13" s="152"/>
      <c r="B13" s="152"/>
      <c r="C13" s="152"/>
      <c r="D13" s="152"/>
      <c r="E13" s="153"/>
      <c r="F13" s="154"/>
      <c r="G13" s="177"/>
      <c r="H13" s="156"/>
      <c r="I13" s="155"/>
      <c r="J13" s="155"/>
      <c r="K13" s="184"/>
    </row>
    <row r="14" spans="1:13" s="118" customFormat="1" ht="18" customHeight="1">
      <c r="A14" s="345">
        <v>2</v>
      </c>
      <c r="B14" s="346" t="s">
        <v>365</v>
      </c>
      <c r="C14" s="346"/>
      <c r="D14" s="346"/>
      <c r="E14" s="346"/>
      <c r="F14" s="347"/>
      <c r="G14" s="345"/>
      <c r="H14" s="346"/>
      <c r="I14" s="346"/>
      <c r="J14" s="348">
        <f>J16</f>
        <v>0</v>
      </c>
      <c r="K14" s="349">
        <f>J14/$J$45</f>
        <v>0</v>
      </c>
    </row>
    <row r="15" spans="1:13" ht="5.0999999999999996" customHeight="1">
      <c r="A15" s="159"/>
      <c r="B15" s="160"/>
      <c r="C15" s="160"/>
      <c r="D15" s="161"/>
      <c r="E15" s="162"/>
      <c r="F15" s="157"/>
      <c r="G15" s="151"/>
      <c r="H15" s="158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365</v>
      </c>
      <c r="C16" s="351"/>
      <c r="D16" s="351"/>
      <c r="E16" s="351"/>
      <c r="F16" s="352"/>
      <c r="G16" s="350"/>
      <c r="H16" s="351"/>
      <c r="I16" s="352"/>
      <c r="J16" s="353">
        <f>SUM(J17:J19)</f>
        <v>0</v>
      </c>
      <c r="K16" s="366">
        <f>SUM(K17:K19)</f>
        <v>0</v>
      </c>
    </row>
    <row r="17" spans="1:11" s="119" customFormat="1" ht="16.149999999999999" customHeight="1">
      <c r="A17" s="220" t="s">
        <v>351</v>
      </c>
      <c r="B17" s="213" t="str">
        <f>'P1'!B17</f>
        <v>P8067</v>
      </c>
      <c r="C17" s="213" t="str">
        <f>Custos!G20</f>
        <v>jan/2026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115.11</v>
      </c>
      <c r="G17" s="214" t="s">
        <v>356</v>
      </c>
      <c r="H17" s="382">
        <f>'Horas trabalhadas'!E12</f>
        <v>0</v>
      </c>
      <c r="I17" s="216">
        <f t="shared" ref="I17:I19" si="1">ROUND(H17*F17,2)</f>
        <v>0</v>
      </c>
      <c r="J17" s="216">
        <f>ROUND(I17*K!$F$19,2)</f>
        <v>0</v>
      </c>
      <c r="K17" s="227">
        <f>ROUND(J17/$J$45,4)</f>
        <v>0</v>
      </c>
    </row>
    <row r="18" spans="1:11" s="119" customFormat="1" ht="16.149999999999999" customHeight="1">
      <c r="A18" s="220" t="s">
        <v>358</v>
      </c>
      <c r="B18" s="213" t="str">
        <f>'P1'!B18</f>
        <v>P8067</v>
      </c>
      <c r="C18" s="213" t="str">
        <f>Custos!G21</f>
        <v>jan/2026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115.11</v>
      </c>
      <c r="G18" s="214" t="s">
        <v>356</v>
      </c>
      <c r="H18" s="382">
        <f>'Horas trabalhadas'!E13</f>
        <v>0</v>
      </c>
      <c r="I18" s="216">
        <f t="shared" si="1"/>
        <v>0</v>
      </c>
      <c r="J18" s="216">
        <f>ROUND(I18*K!$F$19,2)</f>
        <v>0</v>
      </c>
      <c r="K18" s="227">
        <f>ROUND(J18/$J$45,4)</f>
        <v>0</v>
      </c>
    </row>
    <row r="19" spans="1:11" s="119" customFormat="1" ht="16.149999999999999" customHeight="1">
      <c r="A19" s="220" t="s">
        <v>361</v>
      </c>
      <c r="B19" s="213" t="str">
        <f>'P1'!B19</f>
        <v>P8059</v>
      </c>
      <c r="C19" s="213" t="str">
        <f>Custos!G22</f>
        <v>jan/2026</v>
      </c>
      <c r="D19" s="218" t="e">
        <f>Custos!#REF!</f>
        <v>#REF!</v>
      </c>
      <c r="E19" s="215" t="str">
        <f>Custos!B22</f>
        <v>Engenheiro ambiental</v>
      </c>
      <c r="F19" s="216">
        <f>Custos!J22</f>
        <v>120.83</v>
      </c>
      <c r="G19" s="214" t="s">
        <v>356</v>
      </c>
      <c r="H19" s="382">
        <f>'Horas trabalhadas'!E14</f>
        <v>0</v>
      </c>
      <c r="I19" s="216">
        <f t="shared" si="1"/>
        <v>0</v>
      </c>
      <c r="J19" s="216">
        <f>ROUND(I19*K!$F$19,2)</f>
        <v>0</v>
      </c>
      <c r="K19" s="227">
        <f>ROUND(J19/$J$45,4)</f>
        <v>0</v>
      </c>
    </row>
    <row r="20" spans="1:11" ht="6" customHeight="1">
      <c r="A20" s="152"/>
      <c r="B20" s="152"/>
      <c r="C20" s="152"/>
      <c r="D20" s="152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355" t="s">
        <v>138</v>
      </c>
      <c r="C21" s="355"/>
      <c r="D21" s="355"/>
      <c r="E21" s="174"/>
      <c r="F21" s="175"/>
      <c r="G21" s="173"/>
      <c r="H21" s="174"/>
      <c r="I21" s="174"/>
      <c r="J21" s="360">
        <f>J23+J28+J33+J37</f>
        <v>25542.09</v>
      </c>
      <c r="K21" s="349">
        <f>J21/$J$45</f>
        <v>0.64530145794868532</v>
      </c>
    </row>
    <row r="22" spans="1:11" ht="5.0999999999999996" customHeight="1">
      <c r="A22" s="159"/>
      <c r="B22" s="160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379</v>
      </c>
      <c r="C23" s="171"/>
      <c r="D23" s="171"/>
      <c r="E23" s="171"/>
      <c r="F23" s="172"/>
      <c r="G23" s="170"/>
      <c r="H23" s="171"/>
      <c r="I23" s="171"/>
      <c r="J23" s="361">
        <f>SUM(J24:J26)</f>
        <v>25542.09</v>
      </c>
      <c r="K23" s="365">
        <f>SUM(K24:K26)</f>
        <v>0.64529999999999998</v>
      </c>
    </row>
    <row r="24" spans="1:11" s="119" customFormat="1">
      <c r="A24" s="220" t="s">
        <v>351</v>
      </c>
      <c r="B24" s="220">
        <f>'P1'!B24</f>
        <v>65003710</v>
      </c>
      <c r="C24" s="220" t="str">
        <f>Custos!G32</f>
        <v>mar/2026</v>
      </c>
      <c r="D24" s="225" t="str">
        <f>Custos!D32</f>
        <v>COPASA</v>
      </c>
      <c r="E24" s="375" t="str">
        <f>Custos!B32</f>
        <v>Mobilização e desmobilização de equipe de topografia</v>
      </c>
      <c r="F24" s="222">
        <f>Custos!J32</f>
        <v>5.32</v>
      </c>
      <c r="G24" s="263" t="str">
        <f>Custos!H32</f>
        <v>km</v>
      </c>
      <c r="H24" s="263">
        <f>Serviços!D9</f>
        <v>756</v>
      </c>
      <c r="I24" s="216">
        <f>ROUND(H24*F24,2)</f>
        <v>4021.92</v>
      </c>
      <c r="J24" s="216">
        <f>ROUND(I24*K!$F$20,2)</f>
        <v>5107.84</v>
      </c>
      <c r="K24" s="228">
        <f>ROUND(J24/$J$45,4)</f>
        <v>0.129</v>
      </c>
    </row>
    <row r="25" spans="1:11" s="119" customFormat="1">
      <c r="A25" s="220" t="s">
        <v>358</v>
      </c>
      <c r="B25" s="220">
        <f>'P1'!B25</f>
        <v>65001667</v>
      </c>
      <c r="C25" s="220" t="str">
        <f>Custos!G33</f>
        <v>mar/2026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58490.33</v>
      </c>
      <c r="G25" s="263" t="str">
        <f>Custos!H33</f>
        <v>mês</v>
      </c>
      <c r="H25" s="263">
        <f>Serviços!D10</f>
        <v>0.12</v>
      </c>
      <c r="I25" s="216">
        <f t="shared" ref="I25:I26" si="2">ROUND(H25*F25,2)</f>
        <v>7018.84</v>
      </c>
      <c r="J25" s="216">
        <f>ROUND(I25*K!$F$20,2)</f>
        <v>8913.93</v>
      </c>
      <c r="K25" s="228">
        <f>ROUND(J25/$J$45,4)</f>
        <v>0.22520000000000001</v>
      </c>
    </row>
    <row r="26" spans="1:11" s="119" customFormat="1">
      <c r="A26" s="220" t="s">
        <v>361</v>
      </c>
      <c r="B26" s="220">
        <f>'P1'!B26</f>
        <v>65001668</v>
      </c>
      <c r="C26" s="220" t="str">
        <f>Custos!G34</f>
        <v>mar/2026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31279.74</v>
      </c>
      <c r="G26" s="263" t="str">
        <f>Custos!H34</f>
        <v>mês</v>
      </c>
      <c r="H26" s="263">
        <f>Serviços!D11</f>
        <v>0.29000000000000004</v>
      </c>
      <c r="I26" s="216">
        <f t="shared" si="2"/>
        <v>9071.1200000000008</v>
      </c>
      <c r="J26" s="216">
        <f>ROUND(I26*K!$F$20,2)</f>
        <v>11520.32</v>
      </c>
      <c r="K26" s="228">
        <f>ROUND(J26/$J$45,4)</f>
        <v>0.29110000000000003</v>
      </c>
    </row>
    <row r="27" spans="1:11" ht="10.5" customHeight="1">
      <c r="A27" s="159"/>
      <c r="B27" s="160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63" t="s">
        <v>649</v>
      </c>
      <c r="C28" s="163"/>
      <c r="D28" s="163"/>
      <c r="E28" s="163"/>
      <c r="F28" s="150"/>
      <c r="G28" s="148"/>
      <c r="H28" s="149"/>
      <c r="I28" s="149"/>
      <c r="J28" s="164">
        <f>SUM(J30:J30)</f>
        <v>0</v>
      </c>
      <c r="K28" s="364">
        <f>SUM(K30:K30)</f>
        <v>0</v>
      </c>
    </row>
    <row r="29" spans="1:11" s="119" customFormat="1">
      <c r="A29" s="220" t="s">
        <v>351</v>
      </c>
      <c r="B29" s="220">
        <f>'P1'!B29</f>
        <v>65001207</v>
      </c>
      <c r="C29" s="220" t="str">
        <f>Custos!G27</f>
        <v>mar/2026</v>
      </c>
      <c r="D29" s="225" t="str">
        <f>Custos!D27</f>
        <v>COPASA</v>
      </c>
      <c r="E29" s="375" t="str">
        <f>Custos!B27</f>
        <v>Sondagem a percussao - mobilizacao e desmobilizacao</v>
      </c>
      <c r="F29" s="222">
        <f>Custos!J27</f>
        <v>1417.53</v>
      </c>
      <c r="G29" s="263" t="str">
        <f>Custos!H27</f>
        <v>unidade</v>
      </c>
      <c r="H29" s="263">
        <f>Serviços!D14</f>
        <v>0</v>
      </c>
      <c r="I29" s="216">
        <f t="shared" ref="I29:I31" si="3">ROUND(H29*F29,2)</f>
        <v>0</v>
      </c>
      <c r="J29" s="216">
        <f>ROUND(I29*K!$F$20,2)</f>
        <v>0</v>
      </c>
      <c r="K29" s="228">
        <f>ROUND(J29/$J$45,4)</f>
        <v>0</v>
      </c>
    </row>
    <row r="30" spans="1:11" s="119" customFormat="1">
      <c r="A30" s="220" t="s">
        <v>358</v>
      </c>
      <c r="B30" s="220">
        <f>'P1'!B30</f>
        <v>65001209</v>
      </c>
      <c r="C30" s="220" t="str">
        <f>Custos!G28</f>
        <v>mar/2026</v>
      </c>
      <c r="D30" s="225" t="str">
        <f>Custos!D28</f>
        <v>COPASA</v>
      </c>
      <c r="E30" s="375" t="str">
        <f>Custos!B28</f>
        <v>Sondagem a percussao - instalacao por furo</v>
      </c>
      <c r="F30" s="222">
        <f>Custos!J28</f>
        <v>506.64</v>
      </c>
      <c r="G30" s="263" t="str">
        <f>Custos!H28</f>
        <v>unidade</v>
      </c>
      <c r="H30" s="263">
        <f>Serviços!D15</f>
        <v>0</v>
      </c>
      <c r="I30" s="216">
        <f t="shared" si="3"/>
        <v>0</v>
      </c>
      <c r="J30" s="216">
        <f>ROUND(I30*K!$F$20,2)</f>
        <v>0</v>
      </c>
      <c r="K30" s="228">
        <f>ROUND(J30/$J$45,4)</f>
        <v>0</v>
      </c>
    </row>
    <row r="31" spans="1:11" s="119" customFormat="1" ht="26.45" customHeight="1">
      <c r="A31" s="220" t="s">
        <v>680</v>
      </c>
      <c r="B31" s="220">
        <f>'P1'!B31</f>
        <v>65001210</v>
      </c>
      <c r="C31" s="224" t="str">
        <f>Custos!G29</f>
        <v>mar/2026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155.6</v>
      </c>
      <c r="G31" s="376" t="str">
        <f>Custos!H29</f>
        <v>m</v>
      </c>
      <c r="H31" s="263">
        <f>Serviços!D16</f>
        <v>0</v>
      </c>
      <c r="I31" s="216">
        <f t="shared" si="3"/>
        <v>0</v>
      </c>
      <c r="J31" s="216">
        <f>ROUND(I31*K!$F$20,2)</f>
        <v>0</v>
      </c>
      <c r="K31" s="228">
        <f>ROUND(J31/$J$45,4)</f>
        <v>0</v>
      </c>
    </row>
    <row r="32" spans="1:11" ht="6" customHeight="1">
      <c r="A32" s="152"/>
      <c r="B32" s="152"/>
      <c r="C32" s="152"/>
      <c r="D32" s="152"/>
      <c r="E32" s="153"/>
      <c r="F32" s="154"/>
      <c r="G32" s="177"/>
      <c r="H32" s="156"/>
      <c r="I32" s="155"/>
      <c r="J32" s="155"/>
      <c r="K32" s="184"/>
    </row>
    <row r="33" spans="1:11" s="118" customFormat="1" ht="18" customHeight="1">
      <c r="A33" s="148" t="s">
        <v>70</v>
      </c>
      <c r="B33" s="163" t="s">
        <v>384</v>
      </c>
      <c r="C33" s="163"/>
      <c r="D33" s="163"/>
      <c r="E33" s="163"/>
      <c r="F33" s="150"/>
      <c r="G33" s="148"/>
      <c r="H33" s="149"/>
      <c r="I33" s="149"/>
      <c r="J33" s="164">
        <f>SUM(J34:J35)</f>
        <v>0</v>
      </c>
      <c r="K33" s="364">
        <f>SUM(K34:K35)</f>
        <v>0</v>
      </c>
    </row>
    <row r="34" spans="1:11" s="119" customFormat="1">
      <c r="A34" s="220" t="s">
        <v>351</v>
      </c>
      <c r="B34" s="220">
        <f>'P1'!B34</f>
        <v>65001667</v>
      </c>
      <c r="C34" s="220" t="str">
        <f>Custos!G37</f>
        <v>mar/2026</v>
      </c>
      <c r="D34" s="225" t="str">
        <f>Custos!D37</f>
        <v>COPASA</v>
      </c>
      <c r="E34" s="375" t="str">
        <f>Custos!B37</f>
        <v>Equipe de topografia de campo</v>
      </c>
      <c r="F34" s="222">
        <f>Custos!J37</f>
        <v>58490.33</v>
      </c>
      <c r="G34" s="263" t="str">
        <f>Custos!H37</f>
        <v>mês</v>
      </c>
      <c r="H34" s="263">
        <f>Serviços!D12</f>
        <v>0</v>
      </c>
      <c r="I34" s="216">
        <f t="shared" ref="I34:I35" si="4">ROUND(H34*F34,2)</f>
        <v>0</v>
      </c>
      <c r="J34" s="216">
        <f>ROUND(I34*K!$F$20,2)</f>
        <v>0</v>
      </c>
      <c r="K34" s="228">
        <f t="shared" ref="K34:K35" si="5">ROUND(J34/$J$45,4)</f>
        <v>0</v>
      </c>
    </row>
    <row r="35" spans="1:11" s="119" customFormat="1">
      <c r="A35" s="220" t="s">
        <v>358</v>
      </c>
      <c r="B35" s="220">
        <f>'P1'!B35</f>
        <v>65001668</v>
      </c>
      <c r="C35" s="220" t="str">
        <f>Custos!G38</f>
        <v>mar/2026</v>
      </c>
      <c r="D35" s="225" t="str">
        <f>Custos!D38</f>
        <v>COPASA</v>
      </c>
      <c r="E35" s="375" t="str">
        <f>Custos!B38</f>
        <v>Equipe de topografia de escritório</v>
      </c>
      <c r="F35" s="222">
        <f>Custos!J38</f>
        <v>31279.74</v>
      </c>
      <c r="G35" s="263" t="str">
        <f>Custos!H38</f>
        <v>mês</v>
      </c>
      <c r="H35" s="263">
        <f>Serviços!D13</f>
        <v>0</v>
      </c>
      <c r="I35" s="216">
        <f t="shared" si="4"/>
        <v>0</v>
      </c>
      <c r="J35" s="216">
        <f>ROUND(I35*K!$F$20,2)</f>
        <v>0</v>
      </c>
      <c r="K35" s="228">
        <f t="shared" si="5"/>
        <v>0</v>
      </c>
    </row>
    <row r="36" spans="1:11" ht="5.0999999999999996" customHeight="1">
      <c r="A36" s="220"/>
      <c r="B36" s="225"/>
      <c r="C36" s="225"/>
      <c r="D36" s="220"/>
      <c r="E36" s="165"/>
      <c r="F36" s="157"/>
      <c r="G36" s="214"/>
      <c r="H36" s="158"/>
      <c r="I36" s="151"/>
      <c r="J36" s="151"/>
      <c r="K36" s="183"/>
    </row>
    <row r="37" spans="1:11" s="118" customFormat="1" ht="18" customHeight="1">
      <c r="A37" s="148" t="s">
        <v>71</v>
      </c>
      <c r="B37" s="163" t="s">
        <v>386</v>
      </c>
      <c r="C37" s="163"/>
      <c r="D37" s="163"/>
      <c r="E37" s="163"/>
      <c r="F37" s="150"/>
      <c r="G37" s="148"/>
      <c r="H37" s="149"/>
      <c r="I37" s="149"/>
      <c r="J37" s="164">
        <f>SUM(J38:J39)</f>
        <v>0</v>
      </c>
      <c r="K37" s="364">
        <f>SUM(K38:K39)</f>
        <v>0</v>
      </c>
    </row>
    <row r="38" spans="1:11" s="119" customFormat="1">
      <c r="A38" s="225" t="s">
        <v>351</v>
      </c>
      <c r="B38" s="225">
        <f>Custos!E43</f>
        <v>65001114</v>
      </c>
      <c r="C38" s="225" t="str">
        <f>Custos!G43</f>
        <v>mar/2026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453.96</v>
      </c>
      <c r="G38" s="225" t="str">
        <f>Custos!H43</f>
        <v>unidade</v>
      </c>
      <c r="H38" s="263">
        <f>Serviços!D17</f>
        <v>0</v>
      </c>
      <c r="I38" s="216">
        <f t="shared" ref="I38:I39" si="6">ROUND(H38*F38,2)</f>
        <v>0</v>
      </c>
      <c r="J38" s="216">
        <f>ROUND(I38*K!$F$20,2)</f>
        <v>0</v>
      </c>
      <c r="K38" s="228">
        <f t="shared" ref="K38:K39" si="7">ROUND(J38/$J$45,4)</f>
        <v>0</v>
      </c>
    </row>
    <row r="39" spans="1:11" s="119" customFormat="1">
      <c r="A39" s="225" t="s">
        <v>358</v>
      </c>
      <c r="B39" s="225">
        <f>Custos!E44</f>
        <v>65001115</v>
      </c>
      <c r="C39" s="225" t="str">
        <f>Custos!G44</f>
        <v>mar/2026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179.28</v>
      </c>
      <c r="G39" s="225" t="str">
        <f>Custos!H44</f>
        <v>unidade</v>
      </c>
      <c r="H39" s="263">
        <f>Serviços!D18</f>
        <v>0</v>
      </c>
      <c r="I39" s="216">
        <f t="shared" si="6"/>
        <v>0</v>
      </c>
      <c r="J39" s="216">
        <f>ROUND(I39*K!$F$20,2)</f>
        <v>0</v>
      </c>
      <c r="K39" s="228">
        <f t="shared" si="7"/>
        <v>0</v>
      </c>
    </row>
    <row r="40" spans="1:11" s="118" customFormat="1" ht="18" customHeight="1">
      <c r="A40" s="354" t="s">
        <v>681</v>
      </c>
      <c r="B40" s="355" t="s">
        <v>682</v>
      </c>
      <c r="C40" s="355"/>
      <c r="D40" s="355"/>
      <c r="E40" s="174"/>
      <c r="F40" s="175"/>
      <c r="G40" s="173"/>
      <c r="H40" s="174"/>
      <c r="I40" s="174"/>
      <c r="J40" s="360">
        <f>J42</f>
        <v>5386.27</v>
      </c>
      <c r="K40" s="349">
        <f>J40/$J$45</f>
        <v>0.13608001083330556</v>
      </c>
    </row>
    <row r="41" spans="1:11" ht="5.0999999999999996" customHeight="1">
      <c r="A41" s="356"/>
      <c r="B41" s="160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385</v>
      </c>
      <c r="C42" s="149"/>
      <c r="D42" s="149"/>
      <c r="E42" s="149"/>
      <c r="F42" s="150"/>
      <c r="G42" s="148"/>
      <c r="H42" s="149"/>
      <c r="I42" s="149"/>
      <c r="J42" s="169">
        <f>SUM(J43:J43)</f>
        <v>5386.27</v>
      </c>
      <c r="K42" s="363">
        <f>SUM(K43:K43)</f>
        <v>0.1361</v>
      </c>
    </row>
    <row r="43" spans="1:11" s="119" customFormat="1" ht="96.6">
      <c r="A43" s="225" t="s">
        <v>351</v>
      </c>
      <c r="B43" s="225" t="str">
        <f>Custos!F46</f>
        <v>-</v>
      </c>
      <c r="C43" s="225" t="str">
        <f>Custos!G46</f>
        <v>jan/2026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'P1'!F43</f>
        <v>1.02</v>
      </c>
      <c r="G43" s="263" t="str">
        <f>'P1'!G43</f>
        <v>R$/dia</v>
      </c>
      <c r="H43" s="263">
        <f>Deslocamento!E19*Deslocamento!F19</f>
        <v>4158</v>
      </c>
      <c r="I43" s="216">
        <f>ROUND(H43*F43,2)</f>
        <v>4241.16</v>
      </c>
      <c r="J43" s="216">
        <f>ROUND(I43*K!$F$20,2)</f>
        <v>5386.27</v>
      </c>
      <c r="K43" s="228">
        <f>ROUND(J43/$J$45,4)</f>
        <v>0.1361</v>
      </c>
    </row>
    <row r="44" spans="1:11" ht="6" customHeight="1">
      <c r="A44" s="143"/>
      <c r="B44" s="152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80" t="s">
        <v>684</v>
      </c>
      <c r="B45" s="780"/>
      <c r="C45" s="780"/>
      <c r="D45" s="780"/>
      <c r="E45" s="780"/>
      <c r="F45" s="357"/>
      <c r="G45" s="358"/>
      <c r="H45" s="359"/>
      <c r="I45" s="357" t="s">
        <v>685</v>
      </c>
      <c r="J45" s="357">
        <f>ROUND((J7+J14+J21+J40),2)</f>
        <v>39581.64</v>
      </c>
      <c r="K45" s="362">
        <f>K7+K14+K21+K40</f>
        <v>1</v>
      </c>
    </row>
    <row r="46" spans="1:11" ht="6" customHeight="1">
      <c r="A46" s="122"/>
      <c r="B46" s="78"/>
      <c r="C46" s="78"/>
      <c r="D46" s="123"/>
      <c r="E46" s="124"/>
      <c r="F46" s="129"/>
      <c r="G46" s="123"/>
      <c r="H46" s="121"/>
      <c r="I46" s="125"/>
      <c r="J46" s="117"/>
      <c r="K46" s="232"/>
    </row>
    <row r="47" spans="1:11" ht="20.100000000000001" customHeight="1">
      <c r="A47" s="144" t="s">
        <v>297</v>
      </c>
      <c r="B47" s="145"/>
      <c r="C47" s="145"/>
      <c r="D47" s="145"/>
      <c r="E47" s="145"/>
      <c r="F47" s="146"/>
      <c r="G47" s="178"/>
      <c r="H47" s="145"/>
      <c r="I47" s="145"/>
      <c r="J47" s="145"/>
      <c r="K47" s="146"/>
    </row>
    <row r="48" spans="1:11" ht="13.15" customHeight="1">
      <c r="A48" s="147" t="s">
        <v>686</v>
      </c>
      <c r="B48" s="781" t="s">
        <v>687</v>
      </c>
      <c r="C48" s="781"/>
      <c r="D48" s="781"/>
      <c r="E48" s="781"/>
      <c r="F48" s="781"/>
      <c r="G48" s="781"/>
      <c r="H48" s="781"/>
      <c r="I48" s="781"/>
      <c r="J48" s="781"/>
      <c r="K48" s="781"/>
    </row>
    <row r="49" spans="1:11" ht="13.15" customHeight="1">
      <c r="A49" s="147" t="s">
        <v>688</v>
      </c>
      <c r="B49" s="781" t="s">
        <v>689</v>
      </c>
      <c r="C49" s="781"/>
      <c r="D49" s="781"/>
      <c r="E49" s="781"/>
      <c r="F49" s="781"/>
      <c r="G49" s="781"/>
      <c r="H49" s="781"/>
      <c r="I49" s="781"/>
      <c r="J49" s="781"/>
      <c r="K49" s="781"/>
    </row>
    <row r="50" spans="1:11" ht="13.15" customHeight="1">
      <c r="A50" s="147" t="s">
        <v>692</v>
      </c>
      <c r="B50" s="781" t="s">
        <v>693</v>
      </c>
      <c r="C50" s="781"/>
      <c r="D50" s="781"/>
      <c r="E50" s="781"/>
      <c r="F50" s="781"/>
      <c r="G50" s="781"/>
      <c r="H50" s="781"/>
      <c r="I50" s="781"/>
      <c r="J50" s="781"/>
      <c r="K50" s="781"/>
    </row>
    <row r="51" spans="1:11" ht="13.15" customHeight="1">
      <c r="A51" s="147"/>
      <c r="B51" s="280"/>
      <c r="C51" s="280"/>
      <c r="D51" s="280"/>
      <c r="E51" s="280"/>
      <c r="F51" s="280"/>
      <c r="G51" s="280"/>
      <c r="H51" s="280"/>
      <c r="I51" s="280"/>
      <c r="J51" s="280"/>
      <c r="K51" s="280"/>
    </row>
  </sheetData>
  <mergeCells count="6">
    <mergeCell ref="B50:K50"/>
    <mergeCell ref="D1:K1"/>
    <mergeCell ref="F6:G6"/>
    <mergeCell ref="A45:E45"/>
    <mergeCell ref="B48:K48"/>
    <mergeCell ref="B49:K49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1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8" tint="-0.249977111117893"/>
    <pageSetUpPr fitToPage="1"/>
  </sheetPr>
  <dimension ref="A1:M50"/>
  <sheetViews>
    <sheetView showGridLines="0" view="pageBreakPreview" topLeftCell="A37" zoomScaleNormal="100" zoomScaleSheetLayoutView="100" workbookViewId="0">
      <selection activeCell="N47" sqref="N47"/>
    </sheetView>
  </sheetViews>
  <sheetFormatPr defaultColWidth="9.140625" defaultRowHeight="15.6"/>
  <cols>
    <col min="1" max="1" width="5" style="79" customWidth="1"/>
    <col min="2" max="3" width="10" style="79" customWidth="1"/>
    <col min="4" max="4" width="13.8554687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3" ht="35.25" customHeight="1">
      <c r="B1" s="126"/>
      <c r="C1" s="126"/>
      <c r="D1" s="778" t="str">
        <f>'P2'!D1</f>
        <v xml:space="preserve">ORÇAMENTO PARA ELABORAÇÃO DE PROJETOS DE SISTEMA DE ESGOTAMENTO SANITÁRIO </v>
      </c>
      <c r="E1" s="778"/>
      <c r="F1" s="778"/>
      <c r="G1" s="778"/>
      <c r="H1" s="778"/>
      <c r="I1" s="778"/>
      <c r="J1" s="778"/>
      <c r="K1" s="778"/>
    </row>
    <row r="2" spans="1:13" s="118" customFormat="1" ht="15" customHeight="1">
      <c r="A2" s="78" t="s">
        <v>694</v>
      </c>
      <c r="C2" s="81" t="str">
        <f>'Horas trabalhadas'!F8</f>
        <v>Estudo de Concepção</v>
      </c>
      <c r="F2" s="128"/>
      <c r="G2" s="176"/>
      <c r="J2" s="115" t="s">
        <v>143</v>
      </c>
      <c r="K2" s="63">
        <f ca="1">'Dados Básicos do município'!H4</f>
        <v>46170</v>
      </c>
    </row>
    <row r="3" spans="1:13" s="118" customFormat="1" ht="15" customHeight="1">
      <c r="A3" s="78" t="s">
        <v>144</v>
      </c>
      <c r="C3" s="81" t="str">
        <f>'Dados Básicos do município'!B5</f>
        <v>CBH-PIRANGA</v>
      </c>
      <c r="F3" s="128"/>
      <c r="G3" s="176"/>
      <c r="K3" s="128"/>
    </row>
    <row r="4" spans="1:13" s="118" customFormat="1" ht="15" customHeight="1">
      <c r="A4" s="78" t="s">
        <v>145</v>
      </c>
      <c r="C4" s="81" t="str">
        <f>'Dados Básicos do município'!B6</f>
        <v>São Miguel do Anta/MG</v>
      </c>
      <c r="F4" s="128"/>
      <c r="G4" s="176"/>
      <c r="J4" s="116"/>
      <c r="K4" s="115"/>
    </row>
    <row r="5" spans="1:13" ht="6" customHeight="1">
      <c r="A5" s="152"/>
      <c r="B5" s="152"/>
      <c r="C5" s="152"/>
      <c r="D5" s="152"/>
      <c r="E5" s="153"/>
      <c r="F5" s="154"/>
      <c r="G5" s="177"/>
      <c r="H5" s="156"/>
      <c r="I5" s="155"/>
      <c r="J5" s="155"/>
      <c r="K5" s="184"/>
    </row>
    <row r="6" spans="1:13" s="130" customFormat="1" ht="47.45" customHeight="1">
      <c r="A6" s="341" t="s">
        <v>670</v>
      </c>
      <c r="B6" s="341" t="s">
        <v>19</v>
      </c>
      <c r="C6" s="341" t="s">
        <v>671</v>
      </c>
      <c r="D6" s="341" t="s">
        <v>672</v>
      </c>
      <c r="E6" s="342" t="s">
        <v>673</v>
      </c>
      <c r="F6" s="779" t="s">
        <v>674</v>
      </c>
      <c r="G6" s="779"/>
      <c r="H6" s="343" t="s">
        <v>675</v>
      </c>
      <c r="I6" s="344" t="s">
        <v>676</v>
      </c>
      <c r="J6" s="344" t="s">
        <v>677</v>
      </c>
      <c r="K6" s="344" t="s">
        <v>678</v>
      </c>
    </row>
    <row r="7" spans="1:13" s="118" customFormat="1" ht="18" customHeight="1">
      <c r="A7" s="345">
        <v>1</v>
      </c>
      <c r="B7" s="346" t="s">
        <v>679</v>
      </c>
      <c r="C7" s="346"/>
      <c r="D7" s="346"/>
      <c r="E7" s="346"/>
      <c r="F7" s="347"/>
      <c r="G7" s="345"/>
      <c r="H7" s="346"/>
      <c r="I7" s="346"/>
      <c r="J7" s="348">
        <f>J9</f>
        <v>40940.679999999993</v>
      </c>
      <c r="K7" s="349">
        <f>J7/$J$45</f>
        <v>0.9621982692469947</v>
      </c>
    </row>
    <row r="8" spans="1:13" ht="6" customHeight="1">
      <c r="A8" s="152"/>
      <c r="B8" s="152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349</v>
      </c>
      <c r="C9" s="171"/>
      <c r="D9" s="171"/>
      <c r="E9" s="171"/>
      <c r="F9" s="172"/>
      <c r="G9" s="170"/>
      <c r="H9" s="171"/>
      <c r="I9" s="171"/>
      <c r="J9" s="361">
        <f>SUM(J10:J12)</f>
        <v>40940.679999999993</v>
      </c>
      <c r="K9" s="365">
        <f>SUM(K10:K12)</f>
        <v>0.96220000000000006</v>
      </c>
    </row>
    <row r="10" spans="1:13" s="119" customFormat="1" ht="16.149999999999999" customHeight="1">
      <c r="A10" s="220" t="s">
        <v>351</v>
      </c>
      <c r="B10" s="213" t="str">
        <f>'P1'!B10</f>
        <v>P8061</v>
      </c>
      <c r="C10" s="213" t="str">
        <f>Custos!G13</f>
        <v>jan/2026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131.97</v>
      </c>
      <c r="G10" s="214" t="s">
        <v>356</v>
      </c>
      <c r="H10" s="382">
        <f>'Horas trabalhadas'!F9</f>
        <v>51.68</v>
      </c>
      <c r="I10" s="216">
        <f>ROUND(H10*F10,2)</f>
        <v>6820.21</v>
      </c>
      <c r="J10" s="216">
        <f>ROUND(I10*K!$F$19,2)</f>
        <v>17186.93</v>
      </c>
      <c r="K10" s="228">
        <f>ROUND(J10/$J$45,4)</f>
        <v>0.40389999999999998</v>
      </c>
      <c r="M10" s="120"/>
    </row>
    <row r="11" spans="1:13" s="119" customFormat="1" ht="16.149999999999999" customHeight="1">
      <c r="A11" s="220" t="s">
        <v>358</v>
      </c>
      <c r="B11" s="213" t="str">
        <f>'P1'!B11</f>
        <v>P8066</v>
      </c>
      <c r="C11" s="217" t="str">
        <f>Custos!G14</f>
        <v>jan/2026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99.01</v>
      </c>
      <c r="G11" s="218" t="s">
        <v>356</v>
      </c>
      <c r="H11" s="382">
        <f>'Horas trabalhadas'!F10</f>
        <v>77.510000000000005</v>
      </c>
      <c r="I11" s="216">
        <f t="shared" ref="I11:I12" si="0">ROUND(H11*F11,2)</f>
        <v>7674.27</v>
      </c>
      <c r="J11" s="216">
        <f>ROUND(I11*K!$F$19,2)</f>
        <v>19339.16</v>
      </c>
      <c r="K11" s="228">
        <f>ROUND(J11/$J$45,4)</f>
        <v>0.45450000000000002</v>
      </c>
      <c r="M11" s="120"/>
    </row>
    <row r="12" spans="1:13" s="119" customFormat="1" ht="16.149999999999999" customHeight="1">
      <c r="A12" s="220" t="s">
        <v>361</v>
      </c>
      <c r="B12" s="213" t="str">
        <f>Custos!E15</f>
        <v>P8026</v>
      </c>
      <c r="C12" s="217" t="str">
        <f>Custos!G15</f>
        <v>jan/2026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13.56</v>
      </c>
      <c r="G12" s="218" t="s">
        <v>356</v>
      </c>
      <c r="H12" s="382">
        <f>'Horas trabalhadas'!F11</f>
        <v>129.19</v>
      </c>
      <c r="I12" s="216">
        <f t="shared" si="0"/>
        <v>1751.82</v>
      </c>
      <c r="J12" s="216">
        <f>ROUND(I12*K!$F$19,2)</f>
        <v>4414.59</v>
      </c>
      <c r="K12" s="228">
        <f>ROUND(J12/$J$45,4)</f>
        <v>0.1038</v>
      </c>
      <c r="M12" s="120"/>
    </row>
    <row r="13" spans="1:13" ht="6" customHeight="1">
      <c r="A13" s="152"/>
      <c r="B13" s="152"/>
      <c r="C13" s="152"/>
      <c r="D13" s="152"/>
      <c r="E13" s="153"/>
      <c r="F13" s="154"/>
      <c r="G13" s="177"/>
      <c r="H13" s="156"/>
      <c r="I13" s="155"/>
      <c r="J13" s="155"/>
      <c r="K13" s="184"/>
    </row>
    <row r="14" spans="1:13" s="118" customFormat="1" ht="18" customHeight="1">
      <c r="A14" s="345">
        <v>2</v>
      </c>
      <c r="B14" s="346" t="s">
        <v>365</v>
      </c>
      <c r="C14" s="346"/>
      <c r="D14" s="346"/>
      <c r="E14" s="346"/>
      <c r="F14" s="347"/>
      <c r="G14" s="345"/>
      <c r="H14" s="346"/>
      <c r="I14" s="346"/>
      <c r="J14" s="348">
        <f>J16</f>
        <v>0</v>
      </c>
      <c r="K14" s="349">
        <f>J14/$J$45</f>
        <v>0</v>
      </c>
    </row>
    <row r="15" spans="1:13" ht="5.0999999999999996" customHeight="1">
      <c r="A15" s="159"/>
      <c r="B15" s="160"/>
      <c r="C15" s="160"/>
      <c r="D15" s="161"/>
      <c r="E15" s="162"/>
      <c r="F15" s="157"/>
      <c r="G15" s="151"/>
      <c r="H15" s="158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365</v>
      </c>
      <c r="C16" s="351"/>
      <c r="D16" s="351"/>
      <c r="E16" s="351"/>
      <c r="F16" s="352"/>
      <c r="G16" s="350"/>
      <c r="H16" s="351"/>
      <c r="I16" s="352"/>
      <c r="J16" s="353">
        <f>SUM(J17:J19)</f>
        <v>0</v>
      </c>
      <c r="K16" s="366">
        <f>SUM(K17:K19)</f>
        <v>0</v>
      </c>
    </row>
    <row r="17" spans="1:11" s="119" customFormat="1" ht="16.149999999999999" customHeight="1">
      <c r="A17" s="220" t="s">
        <v>351</v>
      </c>
      <c r="B17" s="213" t="str">
        <f>'P1'!B17</f>
        <v>P8067</v>
      </c>
      <c r="C17" s="213" t="str">
        <f>Custos!G20</f>
        <v>jan/2026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115.11</v>
      </c>
      <c r="G17" s="214" t="s">
        <v>356</v>
      </c>
      <c r="H17" s="382">
        <f>'Horas trabalhadas'!F12</f>
        <v>0</v>
      </c>
      <c r="I17" s="216">
        <f t="shared" ref="I17:I19" si="1">ROUND(H17*F17,2)</f>
        <v>0</v>
      </c>
      <c r="J17" s="216">
        <f>ROUND(I17*K!$F$19,2)</f>
        <v>0</v>
      </c>
      <c r="K17" s="227">
        <f>ROUND(J17/$J$45,4)</f>
        <v>0</v>
      </c>
    </row>
    <row r="18" spans="1:11" s="119" customFormat="1" ht="16.149999999999999" customHeight="1">
      <c r="A18" s="220" t="s">
        <v>358</v>
      </c>
      <c r="B18" s="213" t="str">
        <f>'P1'!B18</f>
        <v>P8067</v>
      </c>
      <c r="C18" s="213" t="str">
        <f>Custos!G21</f>
        <v>jan/2026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115.11</v>
      </c>
      <c r="G18" s="214" t="s">
        <v>356</v>
      </c>
      <c r="H18" s="382">
        <f>'Horas trabalhadas'!F13</f>
        <v>0</v>
      </c>
      <c r="I18" s="216">
        <f t="shared" si="1"/>
        <v>0</v>
      </c>
      <c r="J18" s="216">
        <f>ROUND(I18*K!$F$19,2)</f>
        <v>0</v>
      </c>
      <c r="K18" s="227">
        <f>ROUND(J18/$J$45,4)</f>
        <v>0</v>
      </c>
    </row>
    <row r="19" spans="1:11" s="119" customFormat="1" ht="16.149999999999999" customHeight="1">
      <c r="A19" s="220" t="s">
        <v>361</v>
      </c>
      <c r="B19" s="213" t="str">
        <f>'P1'!B19</f>
        <v>P8059</v>
      </c>
      <c r="C19" s="213" t="str">
        <f>Custos!G22</f>
        <v>jan/2026</v>
      </c>
      <c r="D19" s="218" t="str">
        <f>Custos!D22</f>
        <v>DNIT</v>
      </c>
      <c r="E19" s="215" t="str">
        <f>Custos!B22</f>
        <v>Engenheiro ambiental</v>
      </c>
      <c r="F19" s="216">
        <f>Custos!J22</f>
        <v>120.83</v>
      </c>
      <c r="G19" s="214" t="s">
        <v>356</v>
      </c>
      <c r="H19" s="382">
        <f>'Horas trabalhadas'!F14</f>
        <v>0</v>
      </c>
      <c r="I19" s="216">
        <f t="shared" si="1"/>
        <v>0</v>
      </c>
      <c r="J19" s="216">
        <f>ROUND(I19*K!$F$19,2)</f>
        <v>0</v>
      </c>
      <c r="K19" s="227">
        <f>ROUND(J19/$J$45,4)</f>
        <v>0</v>
      </c>
    </row>
    <row r="20" spans="1:11" ht="6" customHeight="1">
      <c r="A20" s="152"/>
      <c r="B20" s="152"/>
      <c r="C20" s="152"/>
      <c r="D20" s="177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355" t="s">
        <v>138</v>
      </c>
      <c r="C21" s="355"/>
      <c r="D21" s="355"/>
      <c r="E21" s="174"/>
      <c r="F21" s="175"/>
      <c r="G21" s="173"/>
      <c r="H21" s="174"/>
      <c r="I21" s="174"/>
      <c r="J21" s="360">
        <f>J23+J28+J33+J37</f>
        <v>1608.4299999999998</v>
      </c>
      <c r="K21" s="349">
        <f>J21/$J$45</f>
        <v>3.7801730753005171E-2</v>
      </c>
    </row>
    <row r="22" spans="1:11" ht="5.0999999999999996" customHeight="1">
      <c r="A22" s="159"/>
      <c r="B22" s="160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379</v>
      </c>
      <c r="C23" s="171"/>
      <c r="D23" s="171"/>
      <c r="E23" s="171"/>
      <c r="F23" s="172"/>
      <c r="G23" s="170"/>
      <c r="H23" s="171"/>
      <c r="I23" s="171"/>
      <c r="J23" s="361">
        <f>SUM(J24:J26)</f>
        <v>0</v>
      </c>
      <c r="K23" s="365">
        <f>SUM(K24:K26)</f>
        <v>0</v>
      </c>
    </row>
    <row r="24" spans="1:11" s="119" customFormat="1">
      <c r="A24" s="220" t="s">
        <v>351</v>
      </c>
      <c r="B24" s="220">
        <f>'P1'!B24</f>
        <v>65003710</v>
      </c>
      <c r="C24" s="220" t="str">
        <f>Custos!G32</f>
        <v>mar/2026</v>
      </c>
      <c r="D24" s="225" t="str">
        <f>Custos!D32</f>
        <v>COPASA</v>
      </c>
      <c r="E24" s="375" t="str">
        <f>Custos!B32</f>
        <v>Mobilização e desmobilização de equipe de topografia</v>
      </c>
      <c r="F24" s="222">
        <f>Custos!J32</f>
        <v>5.32</v>
      </c>
      <c r="G24" s="263" t="str">
        <f>Custos!H32</f>
        <v>km</v>
      </c>
      <c r="H24" s="263">
        <f>Serviços!F9</f>
        <v>0</v>
      </c>
      <c r="I24" s="216">
        <f>ROUND(H24*F24,2)</f>
        <v>0</v>
      </c>
      <c r="J24" s="216">
        <f>ROUND(I24*K!$F$20,2)</f>
        <v>0</v>
      </c>
      <c r="K24" s="228">
        <f>ROUND(J24/$J$45,4)</f>
        <v>0</v>
      </c>
    </row>
    <row r="25" spans="1:11" s="119" customFormat="1">
      <c r="A25" s="220" t="s">
        <v>358</v>
      </c>
      <c r="B25" s="220">
        <f>'P1'!B25</f>
        <v>65001667</v>
      </c>
      <c r="C25" s="220" t="str">
        <f>Custos!G33</f>
        <v>mar/2026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58490.33</v>
      </c>
      <c r="G25" s="263" t="str">
        <f>Custos!H33</f>
        <v>mês</v>
      </c>
      <c r="H25" s="263">
        <f>Serviços!F10</f>
        <v>0</v>
      </c>
      <c r="I25" s="216">
        <f t="shared" ref="I25:I26" si="2">ROUND(H25*F25,2)</f>
        <v>0</v>
      </c>
      <c r="J25" s="216">
        <f>ROUND(I25*K!$F$20,2)</f>
        <v>0</v>
      </c>
      <c r="K25" s="228">
        <f>ROUND(J25/$J$45,4)</f>
        <v>0</v>
      </c>
    </row>
    <row r="26" spans="1:11" s="119" customFormat="1">
      <c r="A26" s="220" t="s">
        <v>361</v>
      </c>
      <c r="B26" s="220">
        <f>'P1'!B26</f>
        <v>65001668</v>
      </c>
      <c r="C26" s="220" t="str">
        <f>Custos!G34</f>
        <v>mar/2026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31279.74</v>
      </c>
      <c r="G26" s="263" t="str">
        <f>Custos!H34</f>
        <v>mês</v>
      </c>
      <c r="H26" s="263">
        <f>Serviços!F11</f>
        <v>0</v>
      </c>
      <c r="I26" s="216">
        <f t="shared" si="2"/>
        <v>0</v>
      </c>
      <c r="J26" s="216">
        <f>ROUND(I26*K!$F$20,2)</f>
        <v>0</v>
      </c>
      <c r="K26" s="228">
        <f>ROUND(J26/$J$45,4)</f>
        <v>0</v>
      </c>
    </row>
    <row r="27" spans="1:11" ht="10.5" customHeight="1">
      <c r="A27" s="159"/>
      <c r="B27" s="160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63" t="s">
        <v>649</v>
      </c>
      <c r="C28" s="163"/>
      <c r="D28" s="163"/>
      <c r="E28" s="163"/>
      <c r="F28" s="150"/>
      <c r="G28" s="148"/>
      <c r="H28" s="149"/>
      <c r="I28" s="149"/>
      <c r="J28" s="164">
        <f>SUM(J29:J31)</f>
        <v>0</v>
      </c>
      <c r="K28" s="364">
        <f>SUM(K29:K31)</f>
        <v>0</v>
      </c>
    </row>
    <row r="29" spans="1:11" s="119" customFormat="1">
      <c r="A29" s="220" t="s">
        <v>351</v>
      </c>
      <c r="B29" s="220">
        <f>'P1'!B29</f>
        <v>65001207</v>
      </c>
      <c r="C29" s="220" t="str">
        <f>Custos!G27</f>
        <v>mar/2026</v>
      </c>
      <c r="D29" s="225" t="str">
        <f>Custos!D27</f>
        <v>COPASA</v>
      </c>
      <c r="E29" s="375" t="str">
        <f>Custos!B27</f>
        <v>Sondagem a percussao - mobilizacao e desmobilizacao</v>
      </c>
      <c r="F29" s="222">
        <f>Custos!J27</f>
        <v>1417.53</v>
      </c>
      <c r="G29" s="263" t="str">
        <f>Custos!H27</f>
        <v>unidade</v>
      </c>
      <c r="H29" s="263">
        <f>Serviços!F14</f>
        <v>0</v>
      </c>
      <c r="I29" s="216">
        <f t="shared" ref="I29:I31" si="3">ROUND(H29*F29,2)</f>
        <v>0</v>
      </c>
      <c r="J29" s="216">
        <f>ROUND(I29*K!$F$20,2)</f>
        <v>0</v>
      </c>
      <c r="K29" s="228">
        <f>ROUND(J29/$J$45,4)</f>
        <v>0</v>
      </c>
    </row>
    <row r="30" spans="1:11" s="119" customFormat="1">
      <c r="A30" s="220" t="s">
        <v>361</v>
      </c>
      <c r="B30" s="220">
        <f>'P1'!B30</f>
        <v>65001209</v>
      </c>
      <c r="C30" s="220" t="str">
        <f>Custos!G28</f>
        <v>mar/2026</v>
      </c>
      <c r="D30" s="225" t="str">
        <f>Custos!D28</f>
        <v>COPASA</v>
      </c>
      <c r="E30" s="375" t="str">
        <f>Custos!B28</f>
        <v>Sondagem a percussao - instalacao por furo</v>
      </c>
      <c r="F30" s="222">
        <f>Custos!J28</f>
        <v>506.64</v>
      </c>
      <c r="G30" s="263" t="str">
        <f>Custos!H28</f>
        <v>unidade</v>
      </c>
      <c r="H30" s="263">
        <f>Serviços!F15</f>
        <v>0</v>
      </c>
      <c r="I30" s="216">
        <f t="shared" si="3"/>
        <v>0</v>
      </c>
      <c r="J30" s="216">
        <f>ROUND(I30*K!$F$20,2)</f>
        <v>0</v>
      </c>
      <c r="K30" s="228">
        <f>ROUND(J30/$J$45,4)</f>
        <v>0</v>
      </c>
    </row>
    <row r="31" spans="1:11" s="119" customFormat="1" ht="26.45" customHeight="1">
      <c r="A31" s="220" t="s">
        <v>680</v>
      </c>
      <c r="B31" s="220">
        <f>'P1'!B31</f>
        <v>65001210</v>
      </c>
      <c r="C31" s="225" t="str">
        <f>Custos!G29</f>
        <v>mar/2026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155.6</v>
      </c>
      <c r="G31" s="376" t="str">
        <f>Custos!H29</f>
        <v>m</v>
      </c>
      <c r="H31" s="263">
        <f>Serviços!F16</f>
        <v>0</v>
      </c>
      <c r="I31" s="216">
        <f t="shared" si="3"/>
        <v>0</v>
      </c>
      <c r="J31" s="216">
        <f>ROUND(I31*K!$F$20,2)</f>
        <v>0</v>
      </c>
      <c r="K31" s="228">
        <f>ROUND(J31/$J$45,4)</f>
        <v>0</v>
      </c>
    </row>
    <row r="32" spans="1:11" ht="6" customHeight="1">
      <c r="A32" s="152"/>
      <c r="B32" s="152"/>
      <c r="C32" s="152"/>
      <c r="D32" s="152"/>
      <c r="E32" s="153"/>
      <c r="F32" s="154"/>
      <c r="G32" s="177"/>
      <c r="H32" s="223"/>
      <c r="I32" s="155"/>
      <c r="J32" s="155"/>
      <c r="K32" s="184"/>
    </row>
    <row r="33" spans="1:11" s="118" customFormat="1" ht="18" customHeight="1">
      <c r="A33" s="148" t="s">
        <v>70</v>
      </c>
      <c r="B33" s="163" t="s">
        <v>384</v>
      </c>
      <c r="C33" s="163"/>
      <c r="D33" s="163"/>
      <c r="E33" s="163"/>
      <c r="F33" s="150"/>
      <c r="G33" s="148"/>
      <c r="H33" s="149"/>
      <c r="I33" s="149"/>
      <c r="J33" s="164">
        <f>SUM(J34:J35)</f>
        <v>0</v>
      </c>
      <c r="K33" s="364">
        <f>SUM(K34:K35)</f>
        <v>0</v>
      </c>
    </row>
    <row r="34" spans="1:11" s="119" customFormat="1">
      <c r="A34" s="220" t="s">
        <v>351</v>
      </c>
      <c r="B34" s="220">
        <f>'P1'!B34</f>
        <v>65001667</v>
      </c>
      <c r="C34" s="220" t="str">
        <f>Custos!G37</f>
        <v>mar/2026</v>
      </c>
      <c r="D34" s="225" t="str">
        <f>Custos!D37</f>
        <v>COPASA</v>
      </c>
      <c r="E34" s="375" t="str">
        <f>Custos!B37</f>
        <v>Equipe de topografia de campo</v>
      </c>
      <c r="F34" s="222">
        <f>Custos!J37</f>
        <v>58490.33</v>
      </c>
      <c r="G34" s="263" t="str">
        <f>Custos!H37</f>
        <v>mês</v>
      </c>
      <c r="H34" s="263">
        <f>Serviços!F12</f>
        <v>0</v>
      </c>
      <c r="I34" s="216">
        <f t="shared" ref="I34:I35" si="4">ROUND(H34*F34,2)</f>
        <v>0</v>
      </c>
      <c r="J34" s="216">
        <f>ROUND(I34*K!$F$20,2)</f>
        <v>0</v>
      </c>
      <c r="K34" s="228">
        <f t="shared" ref="K34:K35" si="5">ROUND(J34/$J$45,4)</f>
        <v>0</v>
      </c>
    </row>
    <row r="35" spans="1:11" s="119" customFormat="1">
      <c r="A35" s="220" t="s">
        <v>358</v>
      </c>
      <c r="B35" s="220">
        <f>'P1'!B35</f>
        <v>65001668</v>
      </c>
      <c r="C35" s="220" t="str">
        <f>Custos!G38</f>
        <v>mar/2026</v>
      </c>
      <c r="D35" s="225" t="str">
        <f>Custos!D38</f>
        <v>COPASA</v>
      </c>
      <c r="E35" s="375" t="str">
        <f>Custos!B38</f>
        <v>Equipe de topografia de escritório</v>
      </c>
      <c r="F35" s="222">
        <f>Custos!J38</f>
        <v>31279.74</v>
      </c>
      <c r="G35" s="263" t="str">
        <f>Custos!H38</f>
        <v>mês</v>
      </c>
      <c r="H35" s="263">
        <f>Serviços!F13</f>
        <v>0</v>
      </c>
      <c r="I35" s="216">
        <f t="shared" si="4"/>
        <v>0</v>
      </c>
      <c r="J35" s="216">
        <f>ROUND(I35*K!$F$20,2)</f>
        <v>0</v>
      </c>
      <c r="K35" s="228">
        <f t="shared" si="5"/>
        <v>0</v>
      </c>
    </row>
    <row r="36" spans="1:11" ht="5.0999999999999996" customHeight="1">
      <c r="A36" s="220"/>
      <c r="B36" s="225"/>
      <c r="C36" s="225"/>
      <c r="D36" s="220"/>
      <c r="E36" s="165"/>
      <c r="F36" s="157"/>
      <c r="G36" s="214"/>
      <c r="H36" s="158"/>
      <c r="I36" s="151"/>
      <c r="J36" s="151"/>
      <c r="K36" s="183"/>
    </row>
    <row r="37" spans="1:11" s="118" customFormat="1" ht="18" customHeight="1">
      <c r="A37" s="148" t="s">
        <v>71</v>
      </c>
      <c r="B37" s="163" t="s">
        <v>386</v>
      </c>
      <c r="C37" s="163"/>
      <c r="D37" s="163"/>
      <c r="E37" s="163"/>
      <c r="F37" s="150"/>
      <c r="G37" s="148"/>
      <c r="H37" s="149"/>
      <c r="I37" s="149"/>
      <c r="J37" s="164">
        <f>SUM(J38:J39)</f>
        <v>1608.4299999999998</v>
      </c>
      <c r="K37" s="364">
        <f>SUM(K38:K39)</f>
        <v>3.78E-2</v>
      </c>
    </row>
    <row r="38" spans="1:11" s="119" customFormat="1">
      <c r="A38" s="225" t="s">
        <v>351</v>
      </c>
      <c r="B38" s="225">
        <f>Custos!E43</f>
        <v>65001114</v>
      </c>
      <c r="C38" s="225" t="str">
        <f>Custos!G43</f>
        <v>mar/2026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453.96</v>
      </c>
      <c r="G38" s="225" t="str">
        <f>Custos!H43</f>
        <v>unidade</v>
      </c>
      <c r="H38" s="263">
        <f>Serviços!F17</f>
        <v>2</v>
      </c>
      <c r="I38" s="216">
        <f t="shared" ref="I38:I39" si="6">ROUND(H38*F38,2)</f>
        <v>907.92</v>
      </c>
      <c r="J38" s="216">
        <f>ROUND(I38*K!$F$20,2)</f>
        <v>1153.06</v>
      </c>
      <c r="K38" s="228">
        <f t="shared" ref="K38:K39" si="7">ROUND(J38/$J$45,4)</f>
        <v>2.7099999999999999E-2</v>
      </c>
    </row>
    <row r="39" spans="1:11" s="119" customFormat="1">
      <c r="A39" s="225" t="s">
        <v>358</v>
      </c>
      <c r="B39" s="225">
        <f>Custos!E44</f>
        <v>65001115</v>
      </c>
      <c r="C39" s="225" t="str">
        <f>Custos!G44</f>
        <v>mar/2026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179.28</v>
      </c>
      <c r="G39" s="225" t="str">
        <f>Custos!H44</f>
        <v>unidade</v>
      </c>
      <c r="H39" s="263">
        <f>Serviços!F18</f>
        <v>2</v>
      </c>
      <c r="I39" s="216">
        <f t="shared" si="6"/>
        <v>358.56</v>
      </c>
      <c r="J39" s="216">
        <f>ROUND(I39*K!$F$20,2)</f>
        <v>455.37</v>
      </c>
      <c r="K39" s="228">
        <f t="shared" si="7"/>
        <v>1.0699999999999999E-2</v>
      </c>
    </row>
    <row r="40" spans="1:11" s="118" customFormat="1" ht="18" customHeight="1">
      <c r="A40" s="354" t="s">
        <v>681</v>
      </c>
      <c r="B40" s="355" t="s">
        <v>682</v>
      </c>
      <c r="C40" s="355"/>
      <c r="D40" s="355"/>
      <c r="E40" s="174"/>
      <c r="F40" s="175"/>
      <c r="G40" s="173"/>
      <c r="H40" s="174"/>
      <c r="I40" s="174"/>
      <c r="J40" s="360">
        <f>J42</f>
        <v>0</v>
      </c>
      <c r="K40" s="349">
        <f>J40/$J$45</f>
        <v>0</v>
      </c>
    </row>
    <row r="41" spans="1:11" ht="5.0999999999999996" customHeight="1">
      <c r="A41" s="356"/>
      <c r="B41" s="160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385</v>
      </c>
      <c r="C42" s="149"/>
      <c r="D42" s="149"/>
      <c r="E42" s="149"/>
      <c r="F42" s="150"/>
      <c r="G42" s="148"/>
      <c r="H42" s="149"/>
      <c r="I42" s="149"/>
      <c r="J42" s="169">
        <f>SUM(J43:J43)</f>
        <v>0</v>
      </c>
      <c r="K42" s="363">
        <f>SUM(K43:K43)</f>
        <v>0</v>
      </c>
    </row>
    <row r="43" spans="1:11" s="119" customFormat="1" ht="109.15" customHeight="1">
      <c r="A43" s="220" t="s">
        <v>361</v>
      </c>
      <c r="B43" s="225" t="str">
        <f>Custos!F46</f>
        <v>-</v>
      </c>
      <c r="C43" s="225" t="str">
        <f>Custos!G46</f>
        <v>jan/2026</v>
      </c>
      <c r="D43" s="226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Custos!J46</f>
        <v>1.02</v>
      </c>
      <c r="G43" s="263" t="str">
        <f>'P1'!G43</f>
        <v>R$/dia</v>
      </c>
      <c r="H43" s="263">
        <v>0</v>
      </c>
      <c r="I43" s="216">
        <f>ROUND(H43*F43,2)</f>
        <v>0</v>
      </c>
      <c r="J43" s="216">
        <f>ROUND(I43*K!$F$20,2)</f>
        <v>0</v>
      </c>
      <c r="K43" s="228">
        <f>ROUND(J43/$J$45,4)</f>
        <v>0</v>
      </c>
    </row>
    <row r="44" spans="1:11" ht="6" customHeight="1">
      <c r="A44" s="143"/>
      <c r="B44" s="152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80" t="s">
        <v>684</v>
      </c>
      <c r="B45" s="780"/>
      <c r="C45" s="780"/>
      <c r="D45" s="780"/>
      <c r="E45" s="780"/>
      <c r="F45" s="357"/>
      <c r="G45" s="358"/>
      <c r="H45" s="359"/>
      <c r="I45" s="357" t="s">
        <v>685</v>
      </c>
      <c r="J45" s="357">
        <f>ROUND((J7+J14+J21+J40),2)</f>
        <v>42549.11</v>
      </c>
      <c r="K45" s="362">
        <f>K7+K14+K21+K40</f>
        <v>0.99999999999999989</v>
      </c>
    </row>
    <row r="46" spans="1:11" ht="6" customHeight="1">
      <c r="A46" s="122"/>
      <c r="B46" s="78"/>
      <c r="C46" s="78"/>
      <c r="D46" s="123"/>
      <c r="E46" s="124"/>
      <c r="F46" s="129"/>
      <c r="G46" s="123"/>
      <c r="H46" s="121"/>
      <c r="I46" s="125"/>
      <c r="J46" s="117"/>
      <c r="K46" s="232"/>
    </row>
    <row r="47" spans="1:11" ht="20.100000000000001" customHeight="1">
      <c r="A47" s="144" t="s">
        <v>297</v>
      </c>
      <c r="B47" s="145"/>
      <c r="C47" s="145"/>
      <c r="D47" s="145"/>
      <c r="E47" s="145"/>
      <c r="F47" s="146"/>
      <c r="G47" s="178"/>
      <c r="H47" s="145"/>
      <c r="I47" s="145"/>
      <c r="J47" s="145"/>
      <c r="K47" s="146"/>
    </row>
    <row r="48" spans="1:11" ht="15.6" customHeight="1">
      <c r="A48" s="147" t="s">
        <v>686</v>
      </c>
      <c r="B48" s="782" t="s">
        <v>687</v>
      </c>
      <c r="C48" s="782"/>
      <c r="D48" s="782"/>
      <c r="E48" s="782"/>
      <c r="F48" s="782"/>
      <c r="G48" s="782"/>
      <c r="H48" s="782"/>
      <c r="I48" s="782"/>
      <c r="J48" s="782"/>
      <c r="K48" s="782"/>
    </row>
    <row r="49" spans="1:11" ht="13.15" customHeight="1">
      <c r="A49" s="147" t="s">
        <v>688</v>
      </c>
      <c r="B49" s="781" t="s">
        <v>689</v>
      </c>
      <c r="C49" s="781"/>
      <c r="D49" s="781"/>
      <c r="E49" s="781"/>
      <c r="F49" s="781"/>
      <c r="G49" s="781"/>
      <c r="H49" s="781"/>
      <c r="I49" s="781"/>
      <c r="J49" s="781"/>
      <c r="K49" s="781"/>
    </row>
    <row r="50" spans="1:11" ht="13.15" customHeight="1">
      <c r="A50" s="147"/>
      <c r="B50" s="280"/>
      <c r="C50" s="280"/>
      <c r="D50" s="280"/>
      <c r="E50" s="280"/>
      <c r="F50" s="280"/>
      <c r="G50" s="280"/>
      <c r="H50" s="280"/>
      <c r="I50" s="280"/>
      <c r="J50" s="280"/>
      <c r="K50" s="280"/>
    </row>
  </sheetData>
  <mergeCells count="5">
    <mergeCell ref="D1:K1"/>
    <mergeCell ref="F6:G6"/>
    <mergeCell ref="A45:E45"/>
    <mergeCell ref="B48:K48"/>
    <mergeCell ref="B49:K49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1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8" tint="-0.249977111117893"/>
    <pageSetUpPr fitToPage="1"/>
  </sheetPr>
  <dimension ref="A1:M50"/>
  <sheetViews>
    <sheetView showGridLines="0" view="pageBreakPreview" topLeftCell="A33" zoomScaleNormal="100" zoomScaleSheetLayoutView="100" workbookViewId="0">
      <selection activeCell="O47" sqref="O47"/>
    </sheetView>
  </sheetViews>
  <sheetFormatPr defaultColWidth="9.140625" defaultRowHeight="15.6"/>
  <cols>
    <col min="1" max="1" width="5" style="79" customWidth="1"/>
    <col min="2" max="2" width="10" style="463" customWidth="1"/>
    <col min="3" max="3" width="10" style="79" customWidth="1"/>
    <col min="4" max="4" width="13.8554687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3" ht="35.25" customHeight="1">
      <c r="B1" s="472"/>
      <c r="C1" s="126"/>
      <c r="D1" s="778" t="str">
        <f>'P4'!D1</f>
        <v xml:space="preserve">ORÇAMENTO PARA ELABORAÇÃO DE PROJETOS DE SISTEMA DE ESGOTAMENTO SANITÁRIO </v>
      </c>
      <c r="E1" s="778"/>
      <c r="F1" s="778"/>
      <c r="G1" s="778"/>
      <c r="H1" s="778"/>
      <c r="I1" s="778"/>
      <c r="J1" s="778"/>
      <c r="K1" s="778"/>
    </row>
    <row r="2" spans="1:13" s="118" customFormat="1" ht="15" customHeight="1">
      <c r="A2" s="78" t="s">
        <v>695</v>
      </c>
      <c r="B2" s="81"/>
      <c r="C2" s="81" t="str">
        <f>'Horas trabalhadas'!G8</f>
        <v>Projeto Básico</v>
      </c>
      <c r="F2" s="128"/>
      <c r="G2" s="176"/>
      <c r="J2" s="115" t="s">
        <v>143</v>
      </c>
      <c r="K2" s="63">
        <f ca="1">'Dados Básicos do município'!H4</f>
        <v>46170</v>
      </c>
    </row>
    <row r="3" spans="1:13" s="118" customFormat="1" ht="15" customHeight="1">
      <c r="A3" s="78" t="s">
        <v>144</v>
      </c>
      <c r="B3" s="81"/>
      <c r="C3" s="81" t="str">
        <f>'Dados Básicos do município'!B5</f>
        <v>CBH-PIRANGA</v>
      </c>
      <c r="F3" s="128"/>
      <c r="G3" s="176"/>
      <c r="K3" s="128"/>
    </row>
    <row r="4" spans="1:13" s="118" customFormat="1" ht="15" customHeight="1">
      <c r="A4" s="78" t="s">
        <v>145</v>
      </c>
      <c r="B4" s="81"/>
      <c r="C4" s="81" t="str">
        <f>'Dados Básicos do município'!B6</f>
        <v>São Miguel do Anta/MG</v>
      </c>
      <c r="F4" s="128"/>
      <c r="G4" s="176"/>
      <c r="J4" s="116"/>
      <c r="K4" s="115"/>
    </row>
    <row r="5" spans="1:13" ht="6" customHeight="1">
      <c r="A5" s="152"/>
      <c r="B5" s="473"/>
      <c r="C5" s="152"/>
      <c r="D5" s="152"/>
      <c r="E5" s="153"/>
      <c r="F5" s="154"/>
      <c r="G5" s="177"/>
      <c r="H5" s="156"/>
      <c r="I5" s="155"/>
      <c r="J5" s="155"/>
      <c r="K5" s="184"/>
    </row>
    <row r="6" spans="1:13" s="130" customFormat="1" ht="47.45" customHeight="1">
      <c r="A6" s="341" t="s">
        <v>670</v>
      </c>
      <c r="B6" s="474" t="s">
        <v>19</v>
      </c>
      <c r="C6" s="341" t="s">
        <v>671</v>
      </c>
      <c r="D6" s="341" t="s">
        <v>672</v>
      </c>
      <c r="E6" s="342" t="s">
        <v>673</v>
      </c>
      <c r="F6" s="779" t="s">
        <v>674</v>
      </c>
      <c r="G6" s="779"/>
      <c r="H6" s="343" t="s">
        <v>675</v>
      </c>
      <c r="I6" s="344" t="s">
        <v>676</v>
      </c>
      <c r="J6" s="344" t="s">
        <v>677</v>
      </c>
      <c r="K6" s="344" t="s">
        <v>678</v>
      </c>
    </row>
    <row r="7" spans="1:13" s="118" customFormat="1" ht="18" customHeight="1">
      <c r="A7" s="345">
        <v>1</v>
      </c>
      <c r="B7" s="475" t="s">
        <v>679</v>
      </c>
      <c r="C7" s="346"/>
      <c r="D7" s="346"/>
      <c r="E7" s="346"/>
      <c r="F7" s="347"/>
      <c r="G7" s="345"/>
      <c r="H7" s="346"/>
      <c r="I7" s="346"/>
      <c r="J7" s="348">
        <f>J9</f>
        <v>78198.98</v>
      </c>
      <c r="K7" s="349">
        <f>J7/$J$45</f>
        <v>0.83991757100403464</v>
      </c>
    </row>
    <row r="8" spans="1:13" ht="6" customHeight="1">
      <c r="A8" s="152"/>
      <c r="B8" s="473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349</v>
      </c>
      <c r="C9" s="171"/>
      <c r="D9" s="171"/>
      <c r="E9" s="171"/>
      <c r="F9" s="172"/>
      <c r="G9" s="170"/>
      <c r="H9" s="171"/>
      <c r="I9" s="171"/>
      <c r="J9" s="361">
        <f>SUM(J10:J12)</f>
        <v>78198.98</v>
      </c>
      <c r="K9" s="365">
        <f>SUM(K10:K12)</f>
        <v>0.83990000000000009</v>
      </c>
    </row>
    <row r="10" spans="1:13" s="119" customFormat="1" ht="16.149999999999999" customHeight="1">
      <c r="A10" s="220" t="s">
        <v>351</v>
      </c>
      <c r="B10" s="476" t="str">
        <f>'P1'!B10</f>
        <v>P8061</v>
      </c>
      <c r="C10" s="213" t="str">
        <f>Custos!G13</f>
        <v>jan/2026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131.97</v>
      </c>
      <c r="G10" s="214" t="s">
        <v>356</v>
      </c>
      <c r="H10" s="382">
        <f>'Horas trabalhadas'!G9</f>
        <v>102.75</v>
      </c>
      <c r="I10" s="216">
        <f>ROUND(H10*F10,2)</f>
        <v>13559.92</v>
      </c>
      <c r="J10" s="216">
        <f>ROUND(I10*K!$F$19,2)</f>
        <v>34171</v>
      </c>
      <c r="K10" s="228">
        <f>ROUND(J10/$J$45,4)</f>
        <v>0.36699999999999999</v>
      </c>
      <c r="M10" s="120"/>
    </row>
    <row r="11" spans="1:13" s="119" customFormat="1" ht="16.149999999999999" customHeight="1">
      <c r="A11" s="220" t="s">
        <v>358</v>
      </c>
      <c r="B11" s="476" t="str">
        <f>'P1'!B11</f>
        <v>P8066</v>
      </c>
      <c r="C11" s="217" t="str">
        <f>Custos!G14</f>
        <v>jan/2026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99.01</v>
      </c>
      <c r="G11" s="218" t="s">
        <v>356</v>
      </c>
      <c r="H11" s="382">
        <f>'Horas trabalhadas'!G10</f>
        <v>141.28</v>
      </c>
      <c r="I11" s="216">
        <f t="shared" ref="I11:I12" si="0">ROUND(H11*F11,2)</f>
        <v>13988.13</v>
      </c>
      <c r="J11" s="216">
        <f>ROUND(I11*K!$F$19,2)</f>
        <v>35250.089999999997</v>
      </c>
      <c r="K11" s="228">
        <f>ROUND(J11/$J$45,4)</f>
        <v>0.37859999999999999</v>
      </c>
      <c r="M11" s="120"/>
    </row>
    <row r="12" spans="1:13" s="119" customFormat="1" ht="16.149999999999999" customHeight="1">
      <c r="A12" s="220" t="s">
        <v>361</v>
      </c>
      <c r="B12" s="476" t="str">
        <f>'P1'!B12</f>
        <v>P8026</v>
      </c>
      <c r="C12" s="217" t="str">
        <f>Custos!G15</f>
        <v>jan/2026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13.56</v>
      </c>
      <c r="G12" s="218" t="s">
        <v>356</v>
      </c>
      <c r="H12" s="382">
        <f>'Horas trabalhadas'!G11</f>
        <v>256.88</v>
      </c>
      <c r="I12" s="216">
        <f t="shared" si="0"/>
        <v>3483.29</v>
      </c>
      <c r="J12" s="216">
        <f>ROUND(I12*K!$F$19,2)</f>
        <v>8777.89</v>
      </c>
      <c r="K12" s="228">
        <f>ROUND(J12/$J$45,4)</f>
        <v>9.4299999999999995E-2</v>
      </c>
      <c r="M12" s="120"/>
    </row>
    <row r="13" spans="1:13" ht="6" customHeight="1">
      <c r="A13" s="152"/>
      <c r="B13" s="473"/>
      <c r="C13" s="152"/>
      <c r="D13" s="152"/>
      <c r="E13" s="153"/>
      <c r="F13" s="154"/>
      <c r="G13" s="177"/>
      <c r="H13" s="156"/>
      <c r="I13" s="155"/>
      <c r="J13" s="155"/>
      <c r="K13" s="184"/>
    </row>
    <row r="14" spans="1:13" s="118" customFormat="1" ht="18" customHeight="1">
      <c r="A14" s="345">
        <v>2</v>
      </c>
      <c r="B14" s="475" t="s">
        <v>365</v>
      </c>
      <c r="C14" s="345"/>
      <c r="D14" s="345"/>
      <c r="E14" s="346"/>
      <c r="F14" s="347"/>
      <c r="G14" s="345"/>
      <c r="H14" s="346"/>
      <c r="I14" s="346"/>
      <c r="J14" s="348">
        <f>J16</f>
        <v>14904.18</v>
      </c>
      <c r="K14" s="349">
        <f>J14/$J$45</f>
        <v>0.16008242899596534</v>
      </c>
    </row>
    <row r="15" spans="1:13" ht="5.0999999999999996" customHeight="1">
      <c r="A15" s="160"/>
      <c r="B15" s="477"/>
      <c r="C15" s="160"/>
      <c r="D15" s="161"/>
      <c r="E15" s="162"/>
      <c r="F15" s="157"/>
      <c r="G15" s="151"/>
      <c r="H15" s="158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365</v>
      </c>
      <c r="C16" s="350"/>
      <c r="D16" s="350"/>
      <c r="E16" s="351"/>
      <c r="F16" s="352"/>
      <c r="G16" s="350"/>
      <c r="H16" s="351"/>
      <c r="I16" s="352"/>
      <c r="J16" s="353">
        <f>SUM(J17:J19)</f>
        <v>14904.18</v>
      </c>
      <c r="K16" s="366">
        <f>SUM(K17:K19)</f>
        <v>0.16</v>
      </c>
    </row>
    <row r="17" spans="1:11" s="119" customFormat="1" ht="16.149999999999999" customHeight="1">
      <c r="A17" s="220" t="s">
        <v>351</v>
      </c>
      <c r="B17" s="476" t="str">
        <f>'P1'!B17</f>
        <v>P8067</v>
      </c>
      <c r="C17" s="213" t="str">
        <f>Custos!G20</f>
        <v>jan/2026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115.11</v>
      </c>
      <c r="G17" s="214" t="s">
        <v>356</v>
      </c>
      <c r="H17" s="382">
        <f>'Horas trabalhadas'!G12</f>
        <v>25.69</v>
      </c>
      <c r="I17" s="216">
        <f t="shared" ref="I17:I19" si="1">ROUND(H17*F17,2)</f>
        <v>2957.18</v>
      </c>
      <c r="J17" s="216">
        <f>ROUND(I17*K!$F$19,2)</f>
        <v>7452.09</v>
      </c>
      <c r="K17" s="227">
        <f>ROUND(J17/$J$45,4)</f>
        <v>0.08</v>
      </c>
    </row>
    <row r="18" spans="1:11" s="119" customFormat="1" ht="16.149999999999999" customHeight="1">
      <c r="A18" s="220" t="s">
        <v>358</v>
      </c>
      <c r="B18" s="476" t="str">
        <f>'P1'!B18</f>
        <v>P8067</v>
      </c>
      <c r="C18" s="213" t="str">
        <f>Custos!G21</f>
        <v>jan/2026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115.11</v>
      </c>
      <c r="G18" s="214" t="s">
        <v>356</v>
      </c>
      <c r="H18" s="382">
        <f>'Horas trabalhadas'!G13</f>
        <v>25.69</v>
      </c>
      <c r="I18" s="216">
        <f t="shared" si="1"/>
        <v>2957.18</v>
      </c>
      <c r="J18" s="216">
        <f>ROUND(I18*K!$F$19,2)</f>
        <v>7452.09</v>
      </c>
      <c r="K18" s="227">
        <f>ROUND(J18/$J$45,4)</f>
        <v>0.08</v>
      </c>
    </row>
    <row r="19" spans="1:11" s="119" customFormat="1" ht="16.149999999999999" customHeight="1">
      <c r="A19" s="220" t="s">
        <v>361</v>
      </c>
      <c r="B19" s="476" t="str">
        <f>'P1'!B19</f>
        <v>P8059</v>
      </c>
      <c r="C19" s="213" t="str">
        <f>Custos!G22</f>
        <v>jan/2026</v>
      </c>
      <c r="D19" s="218" t="str">
        <f>Custos!D22</f>
        <v>DNIT</v>
      </c>
      <c r="E19" s="215" t="str">
        <f>Custos!B22</f>
        <v>Engenheiro ambiental</v>
      </c>
      <c r="F19" s="216">
        <f>Custos!J22</f>
        <v>120.83</v>
      </c>
      <c r="G19" s="214" t="s">
        <v>356</v>
      </c>
      <c r="H19" s="382">
        <f>'Horas trabalhadas'!G14</f>
        <v>0</v>
      </c>
      <c r="I19" s="216">
        <f t="shared" si="1"/>
        <v>0</v>
      </c>
      <c r="J19" s="216">
        <f>ROUND(I19*K!$F$19,2)</f>
        <v>0</v>
      </c>
      <c r="K19" s="227">
        <f>ROUND(J19/$J$45,4)</f>
        <v>0</v>
      </c>
    </row>
    <row r="20" spans="1:11" ht="6" customHeight="1">
      <c r="A20" s="152"/>
      <c r="B20" s="473"/>
      <c r="C20" s="152"/>
      <c r="D20" s="152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478" t="s">
        <v>138</v>
      </c>
      <c r="C21" s="354"/>
      <c r="D21" s="354"/>
      <c r="E21" s="174"/>
      <c r="F21" s="175"/>
      <c r="G21" s="173"/>
      <c r="H21" s="174"/>
      <c r="I21" s="174"/>
      <c r="J21" s="360">
        <f>J23+J28+J33+J40</f>
        <v>0</v>
      </c>
      <c r="K21" s="349">
        <f>J21/$J$45</f>
        <v>0</v>
      </c>
    </row>
    <row r="22" spans="1:11" ht="5.0999999999999996" customHeight="1">
      <c r="A22" s="160"/>
      <c r="B22" s="477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379</v>
      </c>
      <c r="C23" s="170"/>
      <c r="D23" s="170"/>
      <c r="E23" s="171"/>
      <c r="F23" s="172"/>
      <c r="G23" s="170"/>
      <c r="H23" s="171"/>
      <c r="I23" s="171"/>
      <c r="J23" s="361">
        <f>SUM(J24:J26)</f>
        <v>0</v>
      </c>
      <c r="K23" s="365">
        <f>SUM(K24:K26)</f>
        <v>0</v>
      </c>
    </row>
    <row r="24" spans="1:11" s="119" customFormat="1">
      <c r="A24" s="220" t="s">
        <v>351</v>
      </c>
      <c r="B24" s="375">
        <f>'P1'!B24</f>
        <v>65003710</v>
      </c>
      <c r="C24" s="220" t="str">
        <f>Custos!G32</f>
        <v>mar/2026</v>
      </c>
      <c r="D24" s="225" t="str">
        <f>Custos!D32</f>
        <v>COPASA</v>
      </c>
      <c r="E24" s="375" t="str">
        <f>Custos!B32</f>
        <v>Mobilização e desmobilização de equipe de topografia</v>
      </c>
      <c r="F24" s="222">
        <f>Custos!J32</f>
        <v>5.32</v>
      </c>
      <c r="G24" s="263" t="str">
        <f>Custos!H32</f>
        <v>km</v>
      </c>
      <c r="H24" s="263">
        <f>Serviços!G9</f>
        <v>0</v>
      </c>
      <c r="I24" s="216">
        <f t="shared" ref="I24:I26" si="2">ROUND(H24*F24,2)</f>
        <v>0</v>
      </c>
      <c r="J24" s="216">
        <f>ROUND(I24*K!$F$20,2)</f>
        <v>0</v>
      </c>
      <c r="K24" s="228">
        <f>ROUND(J24/$J$45,4)</f>
        <v>0</v>
      </c>
    </row>
    <row r="25" spans="1:11" s="119" customFormat="1">
      <c r="A25" s="220" t="s">
        <v>358</v>
      </c>
      <c r="B25" s="375">
        <f>'P1'!B25</f>
        <v>65001667</v>
      </c>
      <c r="C25" s="220" t="str">
        <f>Custos!G33</f>
        <v>mar/2026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58490.33</v>
      </c>
      <c r="G25" s="263" t="str">
        <f>Custos!H33</f>
        <v>mês</v>
      </c>
      <c r="H25" s="263">
        <f>Serviços!G10</f>
        <v>0</v>
      </c>
      <c r="I25" s="216">
        <f t="shared" si="2"/>
        <v>0</v>
      </c>
      <c r="J25" s="216">
        <f>ROUND(I25*K!$F$20,2)</f>
        <v>0</v>
      </c>
      <c r="K25" s="228">
        <f>ROUND(J25/$J$45,4)</f>
        <v>0</v>
      </c>
    </row>
    <row r="26" spans="1:11" s="119" customFormat="1">
      <c r="A26" s="220" t="s">
        <v>361</v>
      </c>
      <c r="B26" s="375">
        <f>'P1'!B26</f>
        <v>65001668</v>
      </c>
      <c r="C26" s="220" t="str">
        <f>Custos!G34</f>
        <v>mar/2026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31279.74</v>
      </c>
      <c r="G26" s="263" t="str">
        <f>Custos!H34</f>
        <v>mês</v>
      </c>
      <c r="H26" s="263">
        <f>Serviços!G11</f>
        <v>0</v>
      </c>
      <c r="I26" s="216">
        <f t="shared" si="2"/>
        <v>0</v>
      </c>
      <c r="J26" s="216">
        <f>ROUND(I26*K!$F$20,2)</f>
        <v>0</v>
      </c>
      <c r="K26" s="228">
        <f>ROUND(J26/$J$45,4)</f>
        <v>0</v>
      </c>
    </row>
    <row r="27" spans="1:11" ht="10.5" customHeight="1">
      <c r="A27" s="160"/>
      <c r="B27" s="477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49" t="s">
        <v>649</v>
      </c>
      <c r="C28" s="148"/>
      <c r="D28" s="148"/>
      <c r="E28" s="163"/>
      <c r="F28" s="150"/>
      <c r="G28" s="148"/>
      <c r="H28" s="149"/>
      <c r="I28" s="149"/>
      <c r="J28" s="164">
        <f>SUM(J29:J31)</f>
        <v>0</v>
      </c>
      <c r="K28" s="364">
        <f>SUM(K30:K30)</f>
        <v>0</v>
      </c>
    </row>
    <row r="29" spans="1:11" s="119" customFormat="1">
      <c r="A29" s="220" t="s">
        <v>351</v>
      </c>
      <c r="B29" s="375">
        <f>'P1'!B29</f>
        <v>65001207</v>
      </c>
      <c r="C29" s="220" t="str">
        <f>Custos!G27</f>
        <v>mar/2026</v>
      </c>
      <c r="D29" s="225" t="str">
        <f>Custos!D27</f>
        <v>COPASA</v>
      </c>
      <c r="E29" s="375" t="str">
        <f>Custos!B27</f>
        <v>Sondagem a percussao - mobilizacao e desmobilizacao</v>
      </c>
      <c r="F29" s="222">
        <f>Custos!J27</f>
        <v>1417.53</v>
      </c>
      <c r="G29" s="263" t="str">
        <f>Custos!H27</f>
        <v>unidade</v>
      </c>
      <c r="H29" s="263">
        <f>Serviços!G14</f>
        <v>0</v>
      </c>
      <c r="I29" s="216">
        <f t="shared" ref="I29:I31" si="3">ROUND(H29*F29,2)</f>
        <v>0</v>
      </c>
      <c r="J29" s="216">
        <f>ROUND(I29*K!$F$20,2)</f>
        <v>0</v>
      </c>
      <c r="K29" s="228">
        <f>ROUND(J29/$J$45,4)</f>
        <v>0</v>
      </c>
    </row>
    <row r="30" spans="1:11" s="119" customFormat="1">
      <c r="A30" s="220" t="s">
        <v>358</v>
      </c>
      <c r="B30" s="375">
        <f>'P1'!B30</f>
        <v>65001209</v>
      </c>
      <c r="C30" s="220" t="str">
        <f>Custos!G28</f>
        <v>mar/2026</v>
      </c>
      <c r="D30" s="225" t="str">
        <f>Custos!D28</f>
        <v>COPASA</v>
      </c>
      <c r="E30" s="375" t="str">
        <f>Custos!B28</f>
        <v>Sondagem a percussao - instalacao por furo</v>
      </c>
      <c r="F30" s="222">
        <f>Custos!J28</f>
        <v>506.64</v>
      </c>
      <c r="G30" s="263" t="str">
        <f>Custos!H28</f>
        <v>unidade</v>
      </c>
      <c r="H30" s="263">
        <f>Serviços!G15</f>
        <v>0</v>
      </c>
      <c r="I30" s="216">
        <f t="shared" si="3"/>
        <v>0</v>
      </c>
      <c r="J30" s="216">
        <f>ROUND(I30*K!$F$20,2)</f>
        <v>0</v>
      </c>
      <c r="K30" s="228">
        <f>ROUND(J30/$J$45,4)</f>
        <v>0</v>
      </c>
    </row>
    <row r="31" spans="1:11" s="119" customFormat="1" ht="26.45" customHeight="1">
      <c r="A31" s="220" t="s">
        <v>361</v>
      </c>
      <c r="B31" s="375">
        <f>'P1'!B31</f>
        <v>65001210</v>
      </c>
      <c r="C31" s="225" t="str">
        <f>Custos!G29</f>
        <v>mar/2026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155.6</v>
      </c>
      <c r="G31" s="376" t="str">
        <f>Custos!H29</f>
        <v>m</v>
      </c>
      <c r="H31" s="263">
        <f>Serviços!G16</f>
        <v>0</v>
      </c>
      <c r="I31" s="216">
        <f t="shared" si="3"/>
        <v>0</v>
      </c>
      <c r="J31" s="216">
        <f>ROUND(I31*K!$F$20,2)</f>
        <v>0</v>
      </c>
      <c r="K31" s="228">
        <f>ROUND(J31/$J$45,4)</f>
        <v>0</v>
      </c>
    </row>
    <row r="32" spans="1:11" ht="6" customHeight="1">
      <c r="A32" s="152"/>
      <c r="B32" s="473"/>
      <c r="C32" s="152"/>
      <c r="D32" s="152"/>
      <c r="E32" s="153"/>
      <c r="F32" s="154"/>
      <c r="G32" s="177"/>
      <c r="H32" s="223"/>
      <c r="I32" s="155"/>
      <c r="J32" s="155"/>
      <c r="K32" s="184"/>
    </row>
    <row r="33" spans="1:11" s="118" customFormat="1" ht="18" customHeight="1">
      <c r="A33" s="148" t="s">
        <v>70</v>
      </c>
      <c r="B33" s="149" t="s">
        <v>384</v>
      </c>
      <c r="C33" s="148"/>
      <c r="D33" s="148"/>
      <c r="E33" s="163"/>
      <c r="F33" s="150"/>
      <c r="G33" s="148"/>
      <c r="H33" s="149"/>
      <c r="I33" s="149"/>
      <c r="J33" s="164">
        <f>SUM(J34:J35)</f>
        <v>0</v>
      </c>
      <c r="K33" s="364">
        <f>SUM(K34:K35)</f>
        <v>0</v>
      </c>
    </row>
    <row r="34" spans="1:11" s="119" customFormat="1">
      <c r="A34" s="220" t="s">
        <v>351</v>
      </c>
      <c r="B34" s="375">
        <f>'P1'!B34</f>
        <v>65001667</v>
      </c>
      <c r="C34" s="220" t="str">
        <f>Custos!G37</f>
        <v>mar/2026</v>
      </c>
      <c r="D34" s="225" t="str">
        <f>Custos!D37</f>
        <v>COPASA</v>
      </c>
      <c r="E34" s="375" t="str">
        <f>Custos!B37</f>
        <v>Equipe de topografia de campo</v>
      </c>
      <c r="F34" s="222">
        <f>Custos!J37</f>
        <v>58490.33</v>
      </c>
      <c r="G34" s="263" t="str">
        <f>Custos!H37</f>
        <v>mês</v>
      </c>
      <c r="H34" s="263">
        <f>Serviços!G12</f>
        <v>0</v>
      </c>
      <c r="I34" s="216">
        <f t="shared" ref="I34:I35" si="4">ROUND(H34*F34,2)</f>
        <v>0</v>
      </c>
      <c r="J34" s="216">
        <f>ROUND(I34*K!$F$20,2)</f>
        <v>0</v>
      </c>
      <c r="K34" s="228">
        <f t="shared" ref="K34:K35" si="5">ROUND(J34/$J$45,4)</f>
        <v>0</v>
      </c>
    </row>
    <row r="35" spans="1:11" s="119" customFormat="1">
      <c r="A35" s="220" t="s">
        <v>358</v>
      </c>
      <c r="B35" s="375">
        <f>'P1'!B35</f>
        <v>65001668</v>
      </c>
      <c r="C35" s="220" t="str">
        <f>Custos!G38</f>
        <v>mar/2026</v>
      </c>
      <c r="D35" s="225" t="str">
        <f>Custos!D38</f>
        <v>COPASA</v>
      </c>
      <c r="E35" s="375" t="str">
        <f>Custos!B38</f>
        <v>Equipe de topografia de escritório</v>
      </c>
      <c r="F35" s="222">
        <f>Custos!J38</f>
        <v>31279.74</v>
      </c>
      <c r="G35" s="263" t="str">
        <f>Custos!H38</f>
        <v>mês</v>
      </c>
      <c r="H35" s="263">
        <f>Serviços!G13</f>
        <v>0</v>
      </c>
      <c r="I35" s="216">
        <f t="shared" si="4"/>
        <v>0</v>
      </c>
      <c r="J35" s="216">
        <f>ROUND(I35*K!$F$20,2)</f>
        <v>0</v>
      </c>
      <c r="K35" s="228">
        <f t="shared" si="5"/>
        <v>0</v>
      </c>
    </row>
    <row r="36" spans="1:11" ht="5.0999999999999996" customHeight="1">
      <c r="A36" s="220"/>
      <c r="B36" s="406"/>
      <c r="C36" s="225"/>
      <c r="D36" s="220"/>
      <c r="E36" s="165"/>
      <c r="F36" s="157"/>
      <c r="G36" s="214"/>
      <c r="H36" s="158"/>
      <c r="I36" s="151"/>
      <c r="J36" s="151"/>
      <c r="K36" s="183"/>
    </row>
    <row r="37" spans="1:11" s="118" customFormat="1" ht="18" customHeight="1">
      <c r="A37" s="148" t="s">
        <v>71</v>
      </c>
      <c r="B37" s="149" t="s">
        <v>386</v>
      </c>
      <c r="C37" s="163"/>
      <c r="D37" s="163"/>
      <c r="E37" s="163"/>
      <c r="F37" s="150"/>
      <c r="G37" s="148"/>
      <c r="H37" s="149"/>
      <c r="I37" s="149"/>
      <c r="J37" s="164">
        <f>SUM(J38:J39)</f>
        <v>0</v>
      </c>
      <c r="K37" s="364">
        <f>SUM(K38:K39)</f>
        <v>0</v>
      </c>
    </row>
    <row r="38" spans="1:11" s="119" customFormat="1">
      <c r="A38" s="225" t="s">
        <v>351</v>
      </c>
      <c r="B38" s="406">
        <f>Custos!E43</f>
        <v>65001114</v>
      </c>
      <c r="C38" s="225" t="str">
        <f>Custos!G43</f>
        <v>mar/2026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453.96</v>
      </c>
      <c r="G38" s="225" t="str">
        <f>Custos!H43</f>
        <v>unidade</v>
      </c>
      <c r="H38" s="263">
        <f>Serviços!G17</f>
        <v>0</v>
      </c>
      <c r="I38" s="216">
        <f t="shared" ref="I38:I39" si="6">ROUND(H38*F38,2)</f>
        <v>0</v>
      </c>
      <c r="J38" s="216">
        <f>ROUND(I38*K!$F$20,2)</f>
        <v>0</v>
      </c>
      <c r="K38" s="228">
        <f t="shared" ref="K38:K39" si="7">ROUND(J38/$J$45,4)</f>
        <v>0</v>
      </c>
    </row>
    <row r="39" spans="1:11" s="119" customFormat="1">
      <c r="A39" s="225" t="s">
        <v>358</v>
      </c>
      <c r="B39" s="406">
        <f>Custos!E44</f>
        <v>65001115</v>
      </c>
      <c r="C39" s="225" t="str">
        <f>Custos!G44</f>
        <v>mar/2026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179.28</v>
      </c>
      <c r="G39" s="225" t="str">
        <f>Custos!H44</f>
        <v>unidade</v>
      </c>
      <c r="H39" s="263">
        <f>Serviços!G18</f>
        <v>0</v>
      </c>
      <c r="I39" s="216">
        <f t="shared" si="6"/>
        <v>0</v>
      </c>
      <c r="J39" s="216">
        <f>ROUND(I39*K!$F$20,2)</f>
        <v>0</v>
      </c>
      <c r="K39" s="228">
        <f t="shared" si="7"/>
        <v>0</v>
      </c>
    </row>
    <row r="40" spans="1:11" s="118" customFormat="1" ht="18" customHeight="1">
      <c r="A40" s="354" t="s">
        <v>681</v>
      </c>
      <c r="B40" s="478" t="s">
        <v>682</v>
      </c>
      <c r="C40" s="354"/>
      <c r="D40" s="354"/>
      <c r="E40" s="174"/>
      <c r="F40" s="175"/>
      <c r="G40" s="173"/>
      <c r="H40" s="174"/>
      <c r="I40" s="174"/>
      <c r="J40" s="360">
        <f>J42</f>
        <v>0</v>
      </c>
      <c r="K40" s="349">
        <f>J40/$J$45</f>
        <v>0</v>
      </c>
    </row>
    <row r="41" spans="1:11" ht="5.0999999999999996" customHeight="1">
      <c r="A41" s="356"/>
      <c r="B41" s="477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385</v>
      </c>
      <c r="C42" s="148"/>
      <c r="D42" s="148"/>
      <c r="E42" s="149"/>
      <c r="F42" s="150"/>
      <c r="G42" s="148"/>
      <c r="H42" s="149"/>
      <c r="I42" s="149"/>
      <c r="J42" s="169">
        <f>SUM(J43:J43)</f>
        <v>0</v>
      </c>
      <c r="K42" s="363">
        <f>SUM(K43:K43)</f>
        <v>0</v>
      </c>
    </row>
    <row r="43" spans="1:11" s="119" customFormat="1" ht="96.6">
      <c r="A43" s="220" t="s">
        <v>351</v>
      </c>
      <c r="B43" s="406" t="str">
        <f>Custos!F46</f>
        <v>-</v>
      </c>
      <c r="C43" s="225" t="str">
        <f>Custos!G46</f>
        <v>jan/2026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Custos!J46</f>
        <v>1.02</v>
      </c>
      <c r="G43" s="263" t="str">
        <f>'P1'!G43</f>
        <v>R$/dia</v>
      </c>
      <c r="H43" s="263">
        <v>0</v>
      </c>
      <c r="I43" s="216">
        <f>ROUND(H43*F43,2)</f>
        <v>0</v>
      </c>
      <c r="J43" s="216">
        <f>ROUND(I43*K!$F$20,2)</f>
        <v>0</v>
      </c>
      <c r="K43" s="228">
        <f>ROUND(J43/$J$45,4)</f>
        <v>0</v>
      </c>
    </row>
    <row r="44" spans="1:11" ht="6" customHeight="1">
      <c r="A44" s="143"/>
      <c r="B44" s="473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80" t="s">
        <v>684</v>
      </c>
      <c r="B45" s="780"/>
      <c r="C45" s="780"/>
      <c r="D45" s="780"/>
      <c r="E45" s="780"/>
      <c r="F45" s="357"/>
      <c r="G45" s="358"/>
      <c r="H45" s="359"/>
      <c r="I45" s="357" t="s">
        <v>685</v>
      </c>
      <c r="J45" s="357">
        <f>ROUND((J7+J14+J21+J40),2)</f>
        <v>93103.16</v>
      </c>
      <c r="K45" s="362">
        <f>K7+K14+K21+K40</f>
        <v>1</v>
      </c>
    </row>
    <row r="46" spans="1:11" ht="6" customHeight="1">
      <c r="A46" s="122"/>
      <c r="B46" s="78"/>
      <c r="C46" s="78"/>
      <c r="D46" s="123"/>
      <c r="E46" s="124"/>
      <c r="F46" s="129"/>
      <c r="G46" s="123"/>
      <c r="H46" s="121"/>
      <c r="I46" s="125"/>
      <c r="J46" s="117"/>
      <c r="K46" s="232"/>
    </row>
    <row r="47" spans="1:11" ht="20.100000000000001" customHeight="1">
      <c r="A47" s="144" t="s">
        <v>297</v>
      </c>
      <c r="B47" s="479"/>
      <c r="C47" s="145"/>
      <c r="D47" s="145"/>
      <c r="E47" s="145"/>
      <c r="F47" s="146"/>
      <c r="G47" s="178"/>
      <c r="H47" s="145"/>
      <c r="I47" s="145"/>
      <c r="J47" s="145"/>
      <c r="K47" s="146"/>
    </row>
    <row r="48" spans="1:11" ht="24" customHeight="1">
      <c r="A48" s="147" t="s">
        <v>686</v>
      </c>
      <c r="B48" s="782" t="s">
        <v>687</v>
      </c>
      <c r="C48" s="782"/>
      <c r="D48" s="782"/>
      <c r="E48" s="782"/>
      <c r="F48" s="782"/>
      <c r="G48" s="782"/>
      <c r="H48" s="782"/>
      <c r="I48" s="782"/>
      <c r="J48" s="782"/>
      <c r="K48" s="782"/>
    </row>
    <row r="49" spans="1:11" ht="13.15" customHeight="1">
      <c r="A49" s="147" t="s">
        <v>688</v>
      </c>
      <c r="B49" s="781" t="s">
        <v>689</v>
      </c>
      <c r="C49" s="781"/>
      <c r="D49" s="781"/>
      <c r="E49" s="781"/>
      <c r="F49" s="781"/>
      <c r="G49" s="781"/>
      <c r="H49" s="781"/>
      <c r="I49" s="781"/>
      <c r="J49" s="781"/>
      <c r="K49" s="781"/>
    </row>
    <row r="50" spans="1:11" ht="13.15" customHeight="1">
      <c r="A50" s="147"/>
      <c r="B50" s="280"/>
      <c r="C50" s="280"/>
      <c r="D50" s="280"/>
      <c r="E50" s="280"/>
      <c r="F50" s="280"/>
      <c r="G50" s="280"/>
      <c r="H50" s="280"/>
      <c r="I50" s="280"/>
      <c r="J50" s="280"/>
      <c r="K50" s="280"/>
    </row>
  </sheetData>
  <mergeCells count="5">
    <mergeCell ref="D1:K1"/>
    <mergeCell ref="F6:G6"/>
    <mergeCell ref="A45:E45"/>
    <mergeCell ref="B48:K48"/>
    <mergeCell ref="B49:K49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1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8" tint="-0.249977111117893"/>
    <pageSetUpPr fitToPage="1"/>
  </sheetPr>
  <dimension ref="A1:M50"/>
  <sheetViews>
    <sheetView showGridLines="0" view="pageBreakPreview" topLeftCell="A6" zoomScaleNormal="100" zoomScaleSheetLayoutView="100" workbookViewId="0">
      <selection activeCell="D20" sqref="D20"/>
    </sheetView>
  </sheetViews>
  <sheetFormatPr defaultColWidth="9.140625" defaultRowHeight="15.6"/>
  <cols>
    <col min="1" max="1" width="5" style="79" customWidth="1"/>
    <col min="2" max="3" width="10" style="79" customWidth="1"/>
    <col min="4" max="4" width="13.8554687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3" ht="35.25" customHeight="1">
      <c r="B1" s="126"/>
      <c r="C1" s="126"/>
      <c r="D1" s="778" t="s">
        <v>696</v>
      </c>
      <c r="E1" s="778"/>
      <c r="F1" s="778"/>
      <c r="G1" s="778"/>
      <c r="H1" s="778"/>
      <c r="I1" s="778"/>
      <c r="J1" s="778"/>
      <c r="K1" s="778"/>
    </row>
    <row r="2" spans="1:13" s="118" customFormat="1" ht="15" customHeight="1">
      <c r="A2" s="78" t="s">
        <v>697</v>
      </c>
      <c r="C2" s="81" t="str">
        <f>'Horas trabalhadas'!H8</f>
        <v>Estudos Geotécnicos</v>
      </c>
      <c r="F2" s="128"/>
      <c r="G2" s="176"/>
      <c r="J2" s="115" t="s">
        <v>143</v>
      </c>
      <c r="K2" s="63">
        <f ca="1">'Dados Básicos do município'!H4</f>
        <v>46170</v>
      </c>
    </row>
    <row r="3" spans="1:13" s="118" customFormat="1" ht="15" customHeight="1">
      <c r="A3" s="78" t="s">
        <v>144</v>
      </c>
      <c r="C3" s="81" t="str">
        <f>'Dados Básicos do município'!B5</f>
        <v>CBH-PIRANGA</v>
      </c>
      <c r="F3" s="128"/>
      <c r="G3" s="176"/>
      <c r="K3" s="128"/>
    </row>
    <row r="4" spans="1:13" s="118" customFormat="1" ht="15" customHeight="1">
      <c r="A4" s="78" t="s">
        <v>145</v>
      </c>
      <c r="C4" s="81" t="str">
        <f>'Dados Básicos do município'!B6</f>
        <v>São Miguel do Anta/MG</v>
      </c>
      <c r="F4" s="128"/>
      <c r="G4" s="176"/>
      <c r="J4" s="116"/>
      <c r="K4" s="115"/>
    </row>
    <row r="5" spans="1:13" ht="6" customHeight="1">
      <c r="A5" s="152"/>
      <c r="B5" s="152"/>
      <c r="C5" s="152"/>
      <c r="D5" s="152"/>
      <c r="E5" s="153"/>
      <c r="F5" s="154"/>
      <c r="G5" s="177"/>
      <c r="H5" s="156"/>
      <c r="I5" s="155"/>
      <c r="J5" s="155"/>
      <c r="K5" s="184"/>
    </row>
    <row r="6" spans="1:13" s="130" customFormat="1" ht="47.45" customHeight="1">
      <c r="A6" s="341" t="s">
        <v>670</v>
      </c>
      <c r="B6" s="341" t="s">
        <v>19</v>
      </c>
      <c r="C6" s="341" t="s">
        <v>671</v>
      </c>
      <c r="D6" s="341" t="s">
        <v>672</v>
      </c>
      <c r="E6" s="342" t="s">
        <v>673</v>
      </c>
      <c r="F6" s="779" t="s">
        <v>674</v>
      </c>
      <c r="G6" s="779"/>
      <c r="H6" s="343" t="s">
        <v>675</v>
      </c>
      <c r="I6" s="344" t="s">
        <v>676</v>
      </c>
      <c r="J6" s="344" t="s">
        <v>677</v>
      </c>
      <c r="K6" s="344" t="s">
        <v>678</v>
      </c>
    </row>
    <row r="7" spans="1:13" s="118" customFormat="1" ht="18" customHeight="1">
      <c r="A7" s="345">
        <v>1</v>
      </c>
      <c r="B7" s="346" t="s">
        <v>679</v>
      </c>
      <c r="C7" s="346"/>
      <c r="D7" s="346"/>
      <c r="E7" s="346"/>
      <c r="F7" s="347"/>
      <c r="G7" s="345"/>
      <c r="H7" s="346"/>
      <c r="I7" s="346"/>
      <c r="J7" s="348">
        <f>J9</f>
        <v>8652.2200000000012</v>
      </c>
      <c r="K7" s="349">
        <f>J7/$J$45</f>
        <v>0.20573802359078863</v>
      </c>
    </row>
    <row r="8" spans="1:13" ht="6" customHeight="1">
      <c r="A8" s="152"/>
      <c r="B8" s="152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349</v>
      </c>
      <c r="C9" s="171"/>
      <c r="D9" s="171"/>
      <c r="E9" s="171"/>
      <c r="F9" s="172"/>
      <c r="G9" s="170"/>
      <c r="H9" s="171"/>
      <c r="I9" s="171"/>
      <c r="J9" s="361">
        <f>SUM(J10:J12)</f>
        <v>8652.2200000000012</v>
      </c>
      <c r="K9" s="365">
        <f>SUM(K10:K12)</f>
        <v>0.20579999999999998</v>
      </c>
    </row>
    <row r="10" spans="1:13" s="119" customFormat="1" ht="16.149999999999999" customHeight="1">
      <c r="A10" s="220" t="s">
        <v>351</v>
      </c>
      <c r="B10" s="213" t="str">
        <f>'P1'!B10</f>
        <v>P8061</v>
      </c>
      <c r="C10" s="213" t="str">
        <f>Custos!G13</f>
        <v>jan/2026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131.97</v>
      </c>
      <c r="G10" s="214" t="s">
        <v>356</v>
      </c>
      <c r="H10" s="382">
        <f>'Horas trabalhadas'!H9</f>
        <v>19.38</v>
      </c>
      <c r="I10" s="216">
        <f>ROUND(F10*H10,2)</f>
        <v>2557.58</v>
      </c>
      <c r="J10" s="216">
        <f>ROUND(I10*K!$F$19,2)</f>
        <v>6445.1</v>
      </c>
      <c r="K10" s="228">
        <f>ROUND(J10/$J$45,4)</f>
        <v>0.15329999999999999</v>
      </c>
      <c r="M10" s="120"/>
    </row>
    <row r="11" spans="1:13" s="119" customFormat="1" ht="16.149999999999999" customHeight="1">
      <c r="A11" s="220" t="s">
        <v>358</v>
      </c>
      <c r="B11" s="213" t="str">
        <f>'P1'!B11</f>
        <v>P8066</v>
      </c>
      <c r="C11" s="217" t="str">
        <f>Custos!G14</f>
        <v>jan/2026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99.01</v>
      </c>
      <c r="G11" s="218" t="s">
        <v>356</v>
      </c>
      <c r="H11" s="382">
        <f>'Horas trabalhadas'!H10</f>
        <v>0</v>
      </c>
      <c r="I11" s="216">
        <f t="shared" ref="I11:I12" si="0">ROUND(F11*H11,2)</f>
        <v>0</v>
      </c>
      <c r="J11" s="216">
        <f>ROUND(I11*K!$F$19,2)</f>
        <v>0</v>
      </c>
      <c r="K11" s="228">
        <f>ROUND(J11/$J$45,4)</f>
        <v>0</v>
      </c>
      <c r="M11" s="120"/>
    </row>
    <row r="12" spans="1:13" s="119" customFormat="1" ht="16.149999999999999" customHeight="1">
      <c r="A12" s="220" t="s">
        <v>361</v>
      </c>
      <c r="B12" s="213" t="str">
        <f>'P1'!B12</f>
        <v>P8026</v>
      </c>
      <c r="C12" s="217" t="str">
        <f>Custos!G15</f>
        <v>jan/2026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13.56</v>
      </c>
      <c r="G12" s="218" t="s">
        <v>356</v>
      </c>
      <c r="H12" s="382">
        <f>'Horas trabalhadas'!H11</f>
        <v>64.59</v>
      </c>
      <c r="I12" s="216">
        <f t="shared" si="0"/>
        <v>875.84</v>
      </c>
      <c r="J12" s="216">
        <f>ROUND(I12*K!$F$19,2)</f>
        <v>2207.12</v>
      </c>
      <c r="K12" s="228">
        <f>ROUND(J12/$J$45,4)</f>
        <v>5.2499999999999998E-2</v>
      </c>
      <c r="M12" s="120"/>
    </row>
    <row r="13" spans="1:13" ht="6" customHeight="1">
      <c r="A13" s="152"/>
      <c r="B13" s="152"/>
      <c r="C13" s="152"/>
      <c r="D13" s="152"/>
      <c r="E13" s="153"/>
      <c r="F13" s="154"/>
      <c r="G13" s="177"/>
      <c r="H13" s="156"/>
      <c r="I13" s="155"/>
      <c r="J13" s="155"/>
      <c r="K13" s="184"/>
    </row>
    <row r="14" spans="1:13" s="118" customFormat="1" ht="18" customHeight="1">
      <c r="A14" s="345">
        <v>2</v>
      </c>
      <c r="B14" s="346" t="s">
        <v>365</v>
      </c>
      <c r="C14" s="346"/>
      <c r="D14" s="346"/>
      <c r="E14" s="346"/>
      <c r="F14" s="347"/>
      <c r="G14" s="345"/>
      <c r="H14" s="346"/>
      <c r="I14" s="346"/>
      <c r="J14" s="348">
        <f>J16</f>
        <v>0</v>
      </c>
      <c r="K14" s="349">
        <f>J14/$J$45</f>
        <v>0</v>
      </c>
    </row>
    <row r="15" spans="1:13" ht="5.0999999999999996" customHeight="1">
      <c r="A15" s="159"/>
      <c r="B15" s="160"/>
      <c r="C15" s="160"/>
      <c r="D15" s="161"/>
      <c r="E15" s="162"/>
      <c r="F15" s="157"/>
      <c r="G15" s="151"/>
      <c r="H15" s="158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365</v>
      </c>
      <c r="C16" s="351"/>
      <c r="D16" s="351"/>
      <c r="E16" s="351"/>
      <c r="F16" s="352"/>
      <c r="G16" s="350"/>
      <c r="H16" s="351"/>
      <c r="I16" s="352"/>
      <c r="J16" s="353">
        <f>SUM(J17:J19)</f>
        <v>0</v>
      </c>
      <c r="K16" s="366">
        <f>SUM(K17:K19)</f>
        <v>0</v>
      </c>
    </row>
    <row r="17" spans="1:11" s="119" customFormat="1" ht="16.149999999999999" customHeight="1">
      <c r="A17" s="220" t="s">
        <v>351</v>
      </c>
      <c r="B17" s="213" t="str">
        <f>'P1'!B17</f>
        <v>P8067</v>
      </c>
      <c r="C17" s="213" t="str">
        <f>Custos!G20</f>
        <v>jan/2026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115.11</v>
      </c>
      <c r="G17" s="214" t="s">
        <v>356</v>
      </c>
      <c r="H17" s="382">
        <f>'Horas trabalhadas'!H12</f>
        <v>0</v>
      </c>
      <c r="I17" s="216">
        <f t="shared" ref="I17:I19" si="1">ROUND(F17*H17,2)</f>
        <v>0</v>
      </c>
      <c r="J17" s="216">
        <f>ROUND(I17*K!$F$19,2)</f>
        <v>0</v>
      </c>
      <c r="K17" s="227">
        <f>ROUND(J17/$J$45,4)</f>
        <v>0</v>
      </c>
    </row>
    <row r="18" spans="1:11" s="119" customFormat="1" ht="16.149999999999999" customHeight="1">
      <c r="A18" s="220" t="s">
        <v>358</v>
      </c>
      <c r="B18" s="213" t="str">
        <f>'P1'!B18</f>
        <v>P8067</v>
      </c>
      <c r="C18" s="213" t="str">
        <f>Custos!G21</f>
        <v>jan/2026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115.11</v>
      </c>
      <c r="G18" s="214" t="s">
        <v>356</v>
      </c>
      <c r="H18" s="382">
        <f>'Horas trabalhadas'!H13</f>
        <v>0</v>
      </c>
      <c r="I18" s="216">
        <f t="shared" si="1"/>
        <v>0</v>
      </c>
      <c r="J18" s="216">
        <f>ROUND(I18*K!$F$19,2)</f>
        <v>0</v>
      </c>
      <c r="K18" s="227">
        <f>ROUND(J18/$J$45,4)</f>
        <v>0</v>
      </c>
    </row>
    <row r="19" spans="1:11" s="119" customFormat="1" ht="16.149999999999999" customHeight="1">
      <c r="A19" s="220" t="s">
        <v>361</v>
      </c>
      <c r="B19" s="213" t="str">
        <f>'P1'!B19</f>
        <v>P8059</v>
      </c>
      <c r="C19" s="213" t="str">
        <f>Custos!G22</f>
        <v>jan/2026</v>
      </c>
      <c r="D19" s="218" t="str">
        <f>Custos!D22</f>
        <v>DNIT</v>
      </c>
      <c r="E19" s="215" t="str">
        <f>Custos!B22</f>
        <v>Engenheiro ambiental</v>
      </c>
      <c r="F19" s="216">
        <f>Custos!J22</f>
        <v>120.83</v>
      </c>
      <c r="G19" s="214" t="s">
        <v>356</v>
      </c>
      <c r="H19" s="382">
        <f>'Horas trabalhadas'!H14</f>
        <v>0</v>
      </c>
      <c r="I19" s="216">
        <f t="shared" si="1"/>
        <v>0</v>
      </c>
      <c r="J19" s="216">
        <f>ROUND(I19*K!$F$19,2)</f>
        <v>0</v>
      </c>
      <c r="K19" s="227">
        <f>ROUND(J19/$J$45,4)</f>
        <v>0</v>
      </c>
    </row>
    <row r="20" spans="1:11" ht="6" customHeight="1">
      <c r="A20" s="152"/>
      <c r="B20" s="152"/>
      <c r="C20" s="152"/>
      <c r="D20" s="152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355" t="s">
        <v>138</v>
      </c>
      <c r="C21" s="355"/>
      <c r="D21" s="355"/>
      <c r="E21" s="174"/>
      <c r="F21" s="175"/>
      <c r="G21" s="173"/>
      <c r="H21" s="174"/>
      <c r="I21" s="174"/>
      <c r="J21" s="360">
        <f>J23+J28+J33+J37</f>
        <v>28016.059999999998</v>
      </c>
      <c r="K21" s="349">
        <f>J21/$J$45</f>
        <v>0.6661838017527234</v>
      </c>
    </row>
    <row r="22" spans="1:11" ht="5.0999999999999996" customHeight="1">
      <c r="A22" s="159"/>
      <c r="B22" s="160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379</v>
      </c>
      <c r="C23" s="171"/>
      <c r="D23" s="171"/>
      <c r="E23" s="171"/>
      <c r="F23" s="172"/>
      <c r="G23" s="170"/>
      <c r="H23" s="171"/>
      <c r="I23" s="171"/>
      <c r="J23" s="361">
        <f>SUM(J24:J26)</f>
        <v>0</v>
      </c>
      <c r="K23" s="365">
        <f>SUM(K24:K26)</f>
        <v>0</v>
      </c>
    </row>
    <row r="24" spans="1:11" s="119" customFormat="1">
      <c r="A24" s="220" t="s">
        <v>351</v>
      </c>
      <c r="B24" s="220">
        <f>'P1'!B24</f>
        <v>65003710</v>
      </c>
      <c r="C24" s="220" t="str">
        <f>Custos!G32</f>
        <v>mar/2026</v>
      </c>
      <c r="D24" s="225" t="str">
        <f>Custos!D32</f>
        <v>COPASA</v>
      </c>
      <c r="E24" s="375" t="str">
        <f>Custos!B32</f>
        <v>Mobilização e desmobilização de equipe de topografia</v>
      </c>
      <c r="F24" s="222">
        <f>Custos!J32</f>
        <v>5.32</v>
      </c>
      <c r="G24" s="263" t="str">
        <f>Custos!H32</f>
        <v>km</v>
      </c>
      <c r="H24" s="263">
        <f>Serviços!H9</f>
        <v>0</v>
      </c>
      <c r="I24" s="216">
        <f>ROUND(F24*H24,2)</f>
        <v>0</v>
      </c>
      <c r="J24" s="216">
        <f>ROUND(I24*K!$F$20,2)</f>
        <v>0</v>
      </c>
      <c r="K24" s="228">
        <f>ROUND(J24/$J$45,4)</f>
        <v>0</v>
      </c>
    </row>
    <row r="25" spans="1:11" s="119" customFormat="1">
      <c r="A25" s="220" t="s">
        <v>358</v>
      </c>
      <c r="B25" s="220">
        <f>'P1'!B25</f>
        <v>65001667</v>
      </c>
      <c r="C25" s="220" t="str">
        <f>Custos!G33</f>
        <v>mar/2026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58490.33</v>
      </c>
      <c r="G25" s="263" t="str">
        <f>Custos!H33</f>
        <v>mês</v>
      </c>
      <c r="H25" s="263">
        <f>Serviços!H10</f>
        <v>0</v>
      </c>
      <c r="I25" s="216">
        <f t="shared" ref="I25:I26" si="2">ROUND(F25*H25,2)</f>
        <v>0</v>
      </c>
      <c r="J25" s="216">
        <f>ROUND(I25*K!$F$20,2)</f>
        <v>0</v>
      </c>
      <c r="K25" s="228">
        <f>ROUND(J25/$J$45,4)</f>
        <v>0</v>
      </c>
    </row>
    <row r="26" spans="1:11" s="119" customFormat="1">
      <c r="A26" s="220" t="s">
        <v>361</v>
      </c>
      <c r="B26" s="220">
        <f>'P1'!B26</f>
        <v>65001668</v>
      </c>
      <c r="C26" s="220" t="str">
        <f>Custos!G34</f>
        <v>mar/2026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31279.74</v>
      </c>
      <c r="G26" s="263" t="str">
        <f>Custos!H34</f>
        <v>mês</v>
      </c>
      <c r="H26" s="263">
        <f>Serviços!H11</f>
        <v>0</v>
      </c>
      <c r="I26" s="216">
        <f t="shared" si="2"/>
        <v>0</v>
      </c>
      <c r="J26" s="216">
        <f>ROUND(I26*K!$F$20,2)</f>
        <v>0</v>
      </c>
      <c r="K26" s="228">
        <f>ROUND(J26/$J$45,4)</f>
        <v>0</v>
      </c>
    </row>
    <row r="27" spans="1:11" ht="10.5" customHeight="1">
      <c r="A27" s="159"/>
      <c r="B27" s="160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63" t="s">
        <v>649</v>
      </c>
      <c r="C28" s="163"/>
      <c r="D28" s="163"/>
      <c r="E28" s="163"/>
      <c r="F28" s="150"/>
      <c r="G28" s="148"/>
      <c r="H28" s="149"/>
      <c r="I28" s="149"/>
      <c r="J28" s="164">
        <f>SUM(J29:J31)</f>
        <v>28016.059999999998</v>
      </c>
      <c r="K28" s="364">
        <f>SUM(K30:K30)</f>
        <v>0.1532</v>
      </c>
    </row>
    <row r="29" spans="1:11" s="119" customFormat="1">
      <c r="A29" s="220" t="s">
        <v>351</v>
      </c>
      <c r="B29" s="220">
        <f>'P1'!B29</f>
        <v>65001207</v>
      </c>
      <c r="C29" s="220" t="str">
        <f>Custos!G27</f>
        <v>mar/2026</v>
      </c>
      <c r="D29" s="225" t="str">
        <f>Custos!D27</f>
        <v>COPASA</v>
      </c>
      <c r="E29" s="375" t="str">
        <f>Custos!B27</f>
        <v>Sondagem a percussao - mobilizacao e desmobilizacao</v>
      </c>
      <c r="F29" s="222">
        <f>Custos!J27</f>
        <v>1417.53</v>
      </c>
      <c r="G29" s="263" t="str">
        <f>Custos!H27</f>
        <v>unidade</v>
      </c>
      <c r="H29" s="263">
        <f>Serviços!H14</f>
        <v>1</v>
      </c>
      <c r="I29" s="216">
        <f t="shared" ref="I29:I31" si="3">ROUND(F29*H29,2)</f>
        <v>1417.53</v>
      </c>
      <c r="J29" s="216">
        <f>ROUND(I29*K!$F$20,2)</f>
        <v>1800.26</v>
      </c>
      <c r="K29" s="228">
        <f>ROUND(J29/$J$45,4)</f>
        <v>4.2799999999999998E-2</v>
      </c>
    </row>
    <row r="30" spans="1:11" s="119" customFormat="1">
      <c r="A30" s="220" t="s">
        <v>358</v>
      </c>
      <c r="B30" s="220">
        <f>'P1'!B30</f>
        <v>65001209</v>
      </c>
      <c r="C30" s="220" t="str">
        <f>Custos!G28</f>
        <v>mar/2026</v>
      </c>
      <c r="D30" s="225" t="str">
        <f>Custos!D28</f>
        <v>COPASA</v>
      </c>
      <c r="E30" s="375" t="str">
        <f>Custos!B28</f>
        <v>Sondagem a percussao - instalacao por furo</v>
      </c>
      <c r="F30" s="222">
        <f>Custos!J28</f>
        <v>506.64</v>
      </c>
      <c r="G30" s="263" t="str">
        <f>Custos!H28</f>
        <v>unidade</v>
      </c>
      <c r="H30" s="263">
        <f>Serviços!H15</f>
        <v>10.01</v>
      </c>
      <c r="I30" s="216">
        <f t="shared" si="3"/>
        <v>5071.47</v>
      </c>
      <c r="J30" s="216">
        <f>ROUND(I30*K!$F$20,2)</f>
        <v>6440.77</v>
      </c>
      <c r="K30" s="228">
        <f>ROUND(J30/$J$45,4)</f>
        <v>0.1532</v>
      </c>
    </row>
    <row r="31" spans="1:11" s="119" customFormat="1" ht="26.45" customHeight="1">
      <c r="A31" s="220" t="s">
        <v>361</v>
      </c>
      <c r="B31" s="220">
        <f>'P1'!B31</f>
        <v>65001210</v>
      </c>
      <c r="C31" s="225" t="str">
        <f>Custos!G29</f>
        <v>mar/2026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155.6</v>
      </c>
      <c r="G31" s="376" t="str">
        <f>Custos!H29</f>
        <v>m</v>
      </c>
      <c r="H31" s="263">
        <f>Serviços!H16</f>
        <v>100.07</v>
      </c>
      <c r="I31" s="216">
        <f t="shared" si="3"/>
        <v>15570.89</v>
      </c>
      <c r="J31" s="216">
        <f>ROUND(I31*K!$F$20,2)</f>
        <v>19775.03</v>
      </c>
      <c r="K31" s="228">
        <f>ROUND(J31/$J$45,4)</f>
        <v>0.47020000000000001</v>
      </c>
    </row>
    <row r="32" spans="1:11" ht="6" customHeight="1">
      <c r="A32" s="152"/>
      <c r="B32" s="152"/>
      <c r="C32" s="152"/>
      <c r="D32" s="152"/>
      <c r="E32" s="153"/>
      <c r="F32" s="154"/>
      <c r="G32" s="177"/>
      <c r="H32" s="223"/>
      <c r="I32" s="155"/>
      <c r="J32" s="155"/>
      <c r="K32" s="184"/>
    </row>
    <row r="33" spans="1:11" s="118" customFormat="1" ht="18" customHeight="1">
      <c r="A33" s="148" t="s">
        <v>70</v>
      </c>
      <c r="B33" s="163" t="s">
        <v>384</v>
      </c>
      <c r="C33" s="163"/>
      <c r="D33" s="163"/>
      <c r="E33" s="163"/>
      <c r="F33" s="150"/>
      <c r="G33" s="148"/>
      <c r="H33" s="149"/>
      <c r="I33" s="149"/>
      <c r="J33" s="164">
        <f>SUM(J34:J35)</f>
        <v>0</v>
      </c>
      <c r="K33" s="364">
        <f>SUM(K34:K35)</f>
        <v>0</v>
      </c>
    </row>
    <row r="34" spans="1:11" s="119" customFormat="1">
      <c r="A34" s="220" t="s">
        <v>351</v>
      </c>
      <c r="B34" s="220">
        <f>'P1'!B34</f>
        <v>65001667</v>
      </c>
      <c r="C34" s="220" t="str">
        <f>Custos!G37</f>
        <v>mar/2026</v>
      </c>
      <c r="D34" s="225" t="str">
        <f>Custos!D37</f>
        <v>COPASA</v>
      </c>
      <c r="E34" s="375" t="str">
        <f>Custos!B37</f>
        <v>Equipe de topografia de campo</v>
      </c>
      <c r="F34" s="222">
        <f>Custos!J37</f>
        <v>58490.33</v>
      </c>
      <c r="G34" s="263" t="str">
        <f>Custos!H37</f>
        <v>mês</v>
      </c>
      <c r="H34" s="263">
        <f>Serviços!H12</f>
        <v>0</v>
      </c>
      <c r="I34" s="216">
        <f t="shared" ref="I34:I35" si="4">ROUND(F34*H34,2)</f>
        <v>0</v>
      </c>
      <c r="J34" s="216">
        <f>ROUND(I34*K!$F$20,2)</f>
        <v>0</v>
      </c>
      <c r="K34" s="228">
        <f t="shared" ref="K34:K35" si="5">ROUND(J34/$J$45,4)</f>
        <v>0</v>
      </c>
    </row>
    <row r="35" spans="1:11" s="119" customFormat="1">
      <c r="A35" s="220" t="s">
        <v>358</v>
      </c>
      <c r="B35" s="220">
        <f>'P1'!B35</f>
        <v>65001668</v>
      </c>
      <c r="C35" s="220" t="str">
        <f>Custos!G38</f>
        <v>mar/2026</v>
      </c>
      <c r="D35" s="225" t="str">
        <f>Custos!D38</f>
        <v>COPASA</v>
      </c>
      <c r="E35" s="375" t="str">
        <f>Custos!B38</f>
        <v>Equipe de topografia de escritório</v>
      </c>
      <c r="F35" s="222">
        <f>Custos!J38</f>
        <v>31279.74</v>
      </c>
      <c r="G35" s="263" t="str">
        <f>Custos!H38</f>
        <v>mês</v>
      </c>
      <c r="H35" s="263">
        <f>Serviços!H13</f>
        <v>0</v>
      </c>
      <c r="I35" s="216">
        <f t="shared" si="4"/>
        <v>0</v>
      </c>
      <c r="J35" s="216">
        <f>ROUND(I35*K!$F$20,2)</f>
        <v>0</v>
      </c>
      <c r="K35" s="228">
        <f t="shared" si="5"/>
        <v>0</v>
      </c>
    </row>
    <row r="36" spans="1:11" ht="5.0999999999999996" customHeight="1">
      <c r="A36" s="220"/>
      <c r="B36" s="225"/>
      <c r="C36" s="225"/>
      <c r="D36" s="220"/>
      <c r="E36" s="165"/>
      <c r="F36" s="157"/>
      <c r="G36" s="214"/>
      <c r="H36" s="158"/>
      <c r="I36" s="151"/>
      <c r="J36" s="151"/>
      <c r="K36" s="183"/>
    </row>
    <row r="37" spans="1:11" s="118" customFormat="1" ht="18" customHeight="1">
      <c r="A37" s="148" t="s">
        <v>71</v>
      </c>
      <c r="B37" s="149" t="s">
        <v>386</v>
      </c>
      <c r="C37" s="163"/>
      <c r="D37" s="163"/>
      <c r="E37" s="163"/>
      <c r="F37" s="150"/>
      <c r="G37" s="148"/>
      <c r="H37" s="149"/>
      <c r="I37" s="149"/>
      <c r="J37" s="164">
        <f>SUM(J38:J39)</f>
        <v>0</v>
      </c>
      <c r="K37" s="364">
        <f>SUM(K38:K39)</f>
        <v>0</v>
      </c>
    </row>
    <row r="38" spans="1:11" s="119" customFormat="1">
      <c r="A38" s="225" t="s">
        <v>351</v>
      </c>
      <c r="B38" s="406">
        <f>Custos!E43</f>
        <v>65001114</v>
      </c>
      <c r="C38" s="225" t="str">
        <f>Custos!G43</f>
        <v>mar/2026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453.96</v>
      </c>
      <c r="G38" s="225" t="str">
        <f>Custos!H43</f>
        <v>unidade</v>
      </c>
      <c r="H38" s="263">
        <f>Serviços!H17</f>
        <v>0</v>
      </c>
      <c r="I38" s="216">
        <f t="shared" ref="I38:I39" si="6">ROUND(F38*H38,2)</f>
        <v>0</v>
      </c>
      <c r="J38" s="216">
        <f>ROUND(I38*K!$F$20,2)</f>
        <v>0</v>
      </c>
      <c r="K38" s="228">
        <f t="shared" ref="K38:K39" si="7">ROUND(J38/$J$45,4)</f>
        <v>0</v>
      </c>
    </row>
    <row r="39" spans="1:11" s="119" customFormat="1">
      <c r="A39" s="225" t="s">
        <v>358</v>
      </c>
      <c r="B39" s="406">
        <f>Custos!E44</f>
        <v>65001115</v>
      </c>
      <c r="C39" s="225" t="str">
        <f>Custos!G44</f>
        <v>mar/2026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179.28</v>
      </c>
      <c r="G39" s="225" t="str">
        <f>Custos!H44</f>
        <v>unidade</v>
      </c>
      <c r="H39" s="263">
        <f>Serviços!H18</f>
        <v>0</v>
      </c>
      <c r="I39" s="216">
        <f t="shared" si="6"/>
        <v>0</v>
      </c>
      <c r="J39" s="216">
        <f>ROUND(I39*K!$F$20,2)</f>
        <v>0</v>
      </c>
      <c r="K39" s="228">
        <f t="shared" si="7"/>
        <v>0</v>
      </c>
    </row>
    <row r="40" spans="1:11" s="118" customFormat="1" ht="18" customHeight="1">
      <c r="A40" s="354" t="s">
        <v>681</v>
      </c>
      <c r="B40" s="355" t="s">
        <v>682</v>
      </c>
      <c r="C40" s="355"/>
      <c r="D40" s="355"/>
      <c r="E40" s="174"/>
      <c r="F40" s="175"/>
      <c r="G40" s="173"/>
      <c r="H40" s="174"/>
      <c r="I40" s="174"/>
      <c r="J40" s="360">
        <f>J42</f>
        <v>5386.27</v>
      </c>
      <c r="K40" s="349">
        <f>J40/$J$45</f>
        <v>0.12807817465648783</v>
      </c>
    </row>
    <row r="41" spans="1:11" ht="5.0999999999999996" customHeight="1">
      <c r="A41" s="356"/>
      <c r="B41" s="160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385</v>
      </c>
      <c r="C42" s="149"/>
      <c r="D42" s="149"/>
      <c r="E42" s="149"/>
      <c r="F42" s="150"/>
      <c r="G42" s="148"/>
      <c r="H42" s="149"/>
      <c r="I42" s="149"/>
      <c r="J42" s="169">
        <f>SUM(J43:J43)</f>
        <v>5386.27</v>
      </c>
      <c r="K42" s="363">
        <f>SUM(K43:K43)</f>
        <v>0.12809999999999999</v>
      </c>
    </row>
    <row r="43" spans="1:11" s="119" customFormat="1" ht="96.6">
      <c r="A43" s="220" t="s">
        <v>351</v>
      </c>
      <c r="B43" s="225" t="str">
        <f>Custos!F46</f>
        <v>-</v>
      </c>
      <c r="C43" s="225" t="str">
        <f>Custos!G46</f>
        <v>jan/2026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Custos!J46</f>
        <v>1.02</v>
      </c>
      <c r="G43" s="263" t="str">
        <f>'P1'!G43</f>
        <v>R$/dia</v>
      </c>
      <c r="H43" s="263">
        <f>Deslocamento!E19*Deslocamento!F19</f>
        <v>4158</v>
      </c>
      <c r="I43" s="216">
        <f>ROUND(F43*H43,2)</f>
        <v>4241.16</v>
      </c>
      <c r="J43" s="216">
        <f>ROUND(I43*K!$F$20,2)</f>
        <v>5386.27</v>
      </c>
      <c r="K43" s="228">
        <f>ROUND(J43/$J$45,4)</f>
        <v>0.12809999999999999</v>
      </c>
    </row>
    <row r="44" spans="1:11" ht="6" customHeight="1">
      <c r="A44" s="143"/>
      <c r="B44" s="152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80" t="s">
        <v>684</v>
      </c>
      <c r="B45" s="780"/>
      <c r="C45" s="780"/>
      <c r="D45" s="780"/>
      <c r="E45" s="780"/>
      <c r="F45" s="357"/>
      <c r="G45" s="358"/>
      <c r="H45" s="359"/>
      <c r="I45" s="357" t="s">
        <v>685</v>
      </c>
      <c r="J45" s="357">
        <f>ROUND((J7+J14+J21+J40),2)</f>
        <v>42054.55</v>
      </c>
      <c r="K45" s="362">
        <f>K7+K14+K21+K40</f>
        <v>0.99999999999999989</v>
      </c>
    </row>
    <row r="46" spans="1:11" ht="6" customHeight="1">
      <c r="A46" s="122"/>
      <c r="B46" s="78"/>
      <c r="C46" s="78"/>
      <c r="D46" s="123"/>
      <c r="E46" s="124"/>
      <c r="F46" s="129"/>
      <c r="G46" s="123"/>
      <c r="H46" s="121"/>
      <c r="I46" s="125"/>
      <c r="J46" s="117"/>
      <c r="K46" s="232"/>
    </row>
    <row r="47" spans="1:11" ht="20.100000000000001" customHeight="1">
      <c r="A47" s="144" t="s">
        <v>297</v>
      </c>
      <c r="B47" s="145"/>
      <c r="C47" s="145"/>
      <c r="D47" s="145"/>
      <c r="E47" s="145"/>
      <c r="F47" s="146"/>
      <c r="G47" s="178"/>
      <c r="H47" s="145"/>
      <c r="I47" s="145"/>
      <c r="J47" s="145"/>
      <c r="K47" s="146"/>
    </row>
    <row r="48" spans="1:11" ht="14.45" customHeight="1">
      <c r="A48" s="147" t="s">
        <v>686</v>
      </c>
      <c r="B48" s="782" t="s">
        <v>687</v>
      </c>
      <c r="C48" s="782"/>
      <c r="D48" s="782"/>
      <c r="E48" s="782"/>
      <c r="F48" s="782"/>
      <c r="G48" s="782"/>
      <c r="H48" s="782"/>
      <c r="I48" s="782"/>
      <c r="J48" s="782"/>
      <c r="K48" s="782"/>
    </row>
    <row r="49" spans="1:11" ht="13.15" customHeight="1">
      <c r="A49" s="147" t="s">
        <v>688</v>
      </c>
      <c r="B49" s="781" t="s">
        <v>689</v>
      </c>
      <c r="C49" s="781"/>
      <c r="D49" s="781"/>
      <c r="E49" s="781"/>
      <c r="F49" s="781"/>
      <c r="G49" s="781"/>
      <c r="H49" s="781"/>
      <c r="I49" s="781"/>
      <c r="J49" s="781"/>
      <c r="K49" s="781"/>
    </row>
    <row r="50" spans="1:11" ht="13.15" customHeight="1">
      <c r="A50" s="147"/>
      <c r="B50" s="280"/>
      <c r="C50" s="280"/>
      <c r="D50" s="280"/>
      <c r="E50" s="280"/>
      <c r="F50" s="280"/>
      <c r="G50" s="280"/>
      <c r="H50" s="280"/>
      <c r="I50" s="280"/>
      <c r="J50" s="280"/>
      <c r="K50" s="280"/>
    </row>
  </sheetData>
  <mergeCells count="5">
    <mergeCell ref="D1:K1"/>
    <mergeCell ref="F6:G6"/>
    <mergeCell ref="A45:E45"/>
    <mergeCell ref="B48:K48"/>
    <mergeCell ref="B49:K49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1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8" tint="-0.249977111117893"/>
    <pageSetUpPr fitToPage="1"/>
  </sheetPr>
  <dimension ref="A1:M50"/>
  <sheetViews>
    <sheetView showGridLines="0" view="pageBreakPreview" topLeftCell="A28" zoomScaleNormal="100" zoomScaleSheetLayoutView="100" workbookViewId="0">
      <selection activeCell="D20" sqref="D20"/>
    </sheetView>
  </sheetViews>
  <sheetFormatPr defaultColWidth="9.140625" defaultRowHeight="15.6"/>
  <cols>
    <col min="1" max="1" width="5" style="79" customWidth="1"/>
    <col min="2" max="3" width="10" style="79" customWidth="1"/>
    <col min="4" max="4" width="13.8554687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3" ht="35.25" customHeight="1">
      <c r="B1" s="126"/>
      <c r="C1" s="126"/>
      <c r="D1" s="778" t="s">
        <v>696</v>
      </c>
      <c r="E1" s="778"/>
      <c r="F1" s="778"/>
      <c r="G1" s="778"/>
      <c r="H1" s="778"/>
      <c r="I1" s="778"/>
      <c r="J1" s="778"/>
      <c r="K1" s="778"/>
    </row>
    <row r="2" spans="1:13" s="118" customFormat="1" ht="15" customHeight="1">
      <c r="A2" s="78" t="s">
        <v>698</v>
      </c>
      <c r="C2" s="81" t="str">
        <f>_xlfn.CONCAT('Horas trabalhadas'!I8)</f>
        <v>Estudos Ambientais Preliminares</v>
      </c>
      <c r="F2" s="128"/>
      <c r="G2" s="176"/>
      <c r="J2" s="115" t="s">
        <v>143</v>
      </c>
      <c r="K2" s="63">
        <f ca="1">'Dados Básicos do município'!H4</f>
        <v>46170</v>
      </c>
    </row>
    <row r="3" spans="1:13" s="118" customFormat="1" ht="15" customHeight="1">
      <c r="A3" s="78" t="s">
        <v>144</v>
      </c>
      <c r="C3" s="81" t="str">
        <f>'Dados Básicos do município'!B5</f>
        <v>CBH-PIRANGA</v>
      </c>
      <c r="F3" s="128"/>
      <c r="G3" s="176"/>
      <c r="K3" s="128"/>
    </row>
    <row r="4" spans="1:13" s="118" customFormat="1" ht="15" customHeight="1">
      <c r="A4" s="78" t="s">
        <v>145</v>
      </c>
      <c r="C4" s="81" t="str">
        <f>'Dados Básicos do município'!B6</f>
        <v>São Miguel do Anta/MG</v>
      </c>
      <c r="F4" s="128"/>
      <c r="G4" s="176"/>
      <c r="J4" s="116"/>
      <c r="K4" s="115"/>
    </row>
    <row r="5" spans="1:13" ht="6" customHeight="1">
      <c r="A5" s="152"/>
      <c r="B5" s="152"/>
      <c r="C5" s="152"/>
      <c r="D5" s="152"/>
      <c r="E5" s="153"/>
      <c r="F5" s="154"/>
      <c r="G5" s="177"/>
      <c r="H5" s="156"/>
      <c r="I5" s="155"/>
      <c r="J5" s="155"/>
      <c r="K5" s="184"/>
    </row>
    <row r="6" spans="1:13" s="130" customFormat="1" ht="47.45" customHeight="1">
      <c r="A6" s="341" t="s">
        <v>670</v>
      </c>
      <c r="B6" s="341" t="s">
        <v>19</v>
      </c>
      <c r="C6" s="341" t="s">
        <v>671</v>
      </c>
      <c r="D6" s="341" t="s">
        <v>672</v>
      </c>
      <c r="E6" s="342" t="s">
        <v>673</v>
      </c>
      <c r="F6" s="779" t="s">
        <v>674</v>
      </c>
      <c r="G6" s="779"/>
      <c r="H6" s="343" t="s">
        <v>675</v>
      </c>
      <c r="I6" s="344" t="s">
        <v>676</v>
      </c>
      <c r="J6" s="344" t="s">
        <v>677</v>
      </c>
      <c r="K6" s="344" t="s">
        <v>678</v>
      </c>
    </row>
    <row r="7" spans="1:13" s="118" customFormat="1" ht="18" customHeight="1">
      <c r="A7" s="345">
        <v>1</v>
      </c>
      <c r="B7" s="346" t="s">
        <v>679</v>
      </c>
      <c r="C7" s="346"/>
      <c r="D7" s="346"/>
      <c r="E7" s="346"/>
      <c r="F7" s="347"/>
      <c r="G7" s="345"/>
      <c r="H7" s="346"/>
      <c r="I7" s="346"/>
      <c r="J7" s="348">
        <f>J9</f>
        <v>4224.18</v>
      </c>
      <c r="K7" s="349">
        <f>J7/$J$45</f>
        <v>0.30541613344034013</v>
      </c>
    </row>
    <row r="8" spans="1:13" ht="6" customHeight="1">
      <c r="A8" s="152"/>
      <c r="B8" s="152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349</v>
      </c>
      <c r="C9" s="171"/>
      <c r="D9" s="171"/>
      <c r="E9" s="171"/>
      <c r="F9" s="172"/>
      <c r="G9" s="170"/>
      <c r="H9" s="171"/>
      <c r="I9" s="171"/>
      <c r="J9" s="361">
        <f>SUM(J10:J12)</f>
        <v>4224.18</v>
      </c>
      <c r="K9" s="365">
        <f>SUM(K10:K12)</f>
        <v>0.30541613344034013</v>
      </c>
    </row>
    <row r="10" spans="1:13" s="119" customFormat="1" ht="16.149999999999999" customHeight="1">
      <c r="A10" s="220" t="s">
        <v>351</v>
      </c>
      <c r="B10" s="213" t="str">
        <f>'P1'!B10</f>
        <v>P8061</v>
      </c>
      <c r="C10" s="213" t="str">
        <f>Custos!G13</f>
        <v>jan/2026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131.97</v>
      </c>
      <c r="G10" s="214" t="s">
        <v>356</v>
      </c>
      <c r="H10" s="382">
        <f>'Horas trabalhadas'!I9</f>
        <v>9.4600000000000009</v>
      </c>
      <c r="I10" s="216">
        <f>ROUND(H10*F10,2)</f>
        <v>1248.44</v>
      </c>
      <c r="J10" s="216">
        <f>ROUND(I10*K!$F$19,2)</f>
        <v>3146.07</v>
      </c>
      <c r="K10" s="228">
        <f>J10/$J$45</f>
        <v>0.22746675921306642</v>
      </c>
      <c r="M10" s="120"/>
    </row>
    <row r="11" spans="1:13" s="119" customFormat="1" ht="16.149999999999999" customHeight="1">
      <c r="A11" s="220" t="s">
        <v>358</v>
      </c>
      <c r="B11" s="213" t="str">
        <f>'P1'!B11</f>
        <v>P8066</v>
      </c>
      <c r="C11" s="217" t="str">
        <f>Custos!G14</f>
        <v>jan/2026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99.01</v>
      </c>
      <c r="G11" s="218" t="s">
        <v>356</v>
      </c>
      <c r="H11" s="382">
        <f>'Horas trabalhadas'!I10</f>
        <v>0</v>
      </c>
      <c r="I11" s="216">
        <f t="shared" ref="I11:I12" si="0">ROUND(H11*F11,2)</f>
        <v>0</v>
      </c>
      <c r="J11" s="216">
        <f>ROUND(I11*K!$F$19,2)</f>
        <v>0</v>
      </c>
      <c r="K11" s="228">
        <f>J11/$J$45</f>
        <v>0</v>
      </c>
      <c r="M11" s="120"/>
    </row>
    <row r="12" spans="1:13" s="119" customFormat="1" ht="16.149999999999999" customHeight="1">
      <c r="A12" s="220" t="s">
        <v>361</v>
      </c>
      <c r="B12" s="213" t="str">
        <f>'P1'!B12</f>
        <v>P8026</v>
      </c>
      <c r="C12" s="217" t="str">
        <f>Custos!G15</f>
        <v>jan/2026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13.56</v>
      </c>
      <c r="G12" s="218" t="s">
        <v>356</v>
      </c>
      <c r="H12" s="382">
        <f>'Horas trabalhadas'!I11</f>
        <v>31.55</v>
      </c>
      <c r="I12" s="216">
        <f t="shared" si="0"/>
        <v>427.82</v>
      </c>
      <c r="J12" s="216">
        <f>ROUND(I12*K!$F$19,2)</f>
        <v>1078.1099999999999</v>
      </c>
      <c r="K12" s="228">
        <f>J12/$J$45</f>
        <v>7.7949374227273702E-2</v>
      </c>
      <c r="M12" s="120"/>
    </row>
    <row r="13" spans="1:13" ht="6" customHeight="1">
      <c r="A13" s="152"/>
      <c r="B13" s="152"/>
      <c r="C13" s="152"/>
      <c r="D13" s="152"/>
      <c r="E13" s="153"/>
      <c r="F13" s="154"/>
      <c r="G13" s="177"/>
      <c r="H13" s="459"/>
      <c r="I13" s="155"/>
      <c r="J13" s="155"/>
      <c r="K13" s="184"/>
    </row>
    <row r="14" spans="1:13" s="118" customFormat="1" ht="18" customHeight="1">
      <c r="A14" s="345">
        <v>2</v>
      </c>
      <c r="B14" s="346" t="s">
        <v>365</v>
      </c>
      <c r="C14" s="346"/>
      <c r="D14" s="346"/>
      <c r="E14" s="346"/>
      <c r="F14" s="347"/>
      <c r="G14" s="345"/>
      <c r="H14" s="460"/>
      <c r="I14" s="346"/>
      <c r="J14" s="348">
        <f>J16</f>
        <v>9606.7199999999993</v>
      </c>
      <c r="K14" s="349">
        <f>J14/$J$45</f>
        <v>0.69458386655965987</v>
      </c>
    </row>
    <row r="15" spans="1:13" ht="5.0999999999999996" customHeight="1">
      <c r="A15" s="159"/>
      <c r="B15" s="160"/>
      <c r="C15" s="160"/>
      <c r="D15" s="161"/>
      <c r="E15" s="162"/>
      <c r="F15" s="157"/>
      <c r="G15" s="151"/>
      <c r="H15" s="461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365</v>
      </c>
      <c r="C16" s="351"/>
      <c r="D16" s="351"/>
      <c r="E16" s="351"/>
      <c r="F16" s="352"/>
      <c r="G16" s="350"/>
      <c r="H16" s="462"/>
      <c r="I16" s="352"/>
      <c r="J16" s="353">
        <f>SUM(J17:J19)</f>
        <v>9606.7199999999993</v>
      </c>
      <c r="K16" s="366">
        <f>SUM(K17:K19)</f>
        <v>0.69458386655965987</v>
      </c>
    </row>
    <row r="17" spans="1:11" s="119" customFormat="1" ht="16.149999999999999" customHeight="1">
      <c r="A17" s="220" t="s">
        <v>351</v>
      </c>
      <c r="B17" s="213" t="str">
        <f>'P1'!B17</f>
        <v>P8067</v>
      </c>
      <c r="C17" s="213" t="str">
        <f>Custos!G20</f>
        <v>jan/2026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115.11</v>
      </c>
      <c r="G17" s="214" t="s">
        <v>356</v>
      </c>
      <c r="H17" s="382">
        <f>'Horas trabalhadas'!I12</f>
        <v>0</v>
      </c>
      <c r="I17" s="216">
        <f t="shared" ref="I17:I19" si="1">ROUND(H17*F17,2)</f>
        <v>0</v>
      </c>
      <c r="J17" s="216">
        <f>ROUND(I17*K!$F$19,2)</f>
        <v>0</v>
      </c>
      <c r="K17" s="227">
        <f>J17/$J$45</f>
        <v>0</v>
      </c>
    </row>
    <row r="18" spans="1:11" s="119" customFormat="1" ht="16.149999999999999" customHeight="1">
      <c r="A18" s="220" t="s">
        <v>358</v>
      </c>
      <c r="B18" s="213" t="str">
        <f>'P1'!B18</f>
        <v>P8067</v>
      </c>
      <c r="C18" s="213" t="str">
        <f>Custos!G21</f>
        <v>jan/2026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115.11</v>
      </c>
      <c r="G18" s="214" t="s">
        <v>356</v>
      </c>
      <c r="H18" s="382">
        <f>'Horas trabalhadas'!I13</f>
        <v>0</v>
      </c>
      <c r="I18" s="216">
        <f t="shared" si="1"/>
        <v>0</v>
      </c>
      <c r="J18" s="216">
        <f>ROUND(I18*K!$F$19,2)</f>
        <v>0</v>
      </c>
      <c r="K18" s="227">
        <f>J18/$J$45</f>
        <v>0</v>
      </c>
    </row>
    <row r="19" spans="1:11" s="119" customFormat="1" ht="16.149999999999999" customHeight="1">
      <c r="A19" s="220" t="s">
        <v>361</v>
      </c>
      <c r="B19" s="213" t="str">
        <f>'P1'!B19</f>
        <v>P8059</v>
      </c>
      <c r="C19" s="213" t="str">
        <f>Custos!G22</f>
        <v>jan/2026</v>
      </c>
      <c r="D19" s="218" t="str">
        <f>Custos!D22</f>
        <v>DNIT</v>
      </c>
      <c r="E19" s="215" t="str">
        <f>Custos!B22</f>
        <v>Engenheiro ambiental</v>
      </c>
      <c r="F19" s="216">
        <f>Custos!J22</f>
        <v>120.83</v>
      </c>
      <c r="G19" s="214" t="s">
        <v>356</v>
      </c>
      <c r="H19" s="382">
        <f>'Horas trabalhadas'!I14</f>
        <v>31.55</v>
      </c>
      <c r="I19" s="216">
        <f t="shared" si="1"/>
        <v>3812.19</v>
      </c>
      <c r="J19" s="216">
        <f>ROUND(I19*K!$F$19,2)</f>
        <v>9606.7199999999993</v>
      </c>
      <c r="K19" s="227">
        <f>J19/$J$45</f>
        <v>0.69458386655965987</v>
      </c>
    </row>
    <row r="20" spans="1:11" ht="6" customHeight="1">
      <c r="A20" s="152"/>
      <c r="B20" s="152"/>
      <c r="C20" s="152"/>
      <c r="D20" s="152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355" t="s">
        <v>138</v>
      </c>
      <c r="C21" s="355"/>
      <c r="D21" s="355"/>
      <c r="E21" s="174"/>
      <c r="F21" s="175"/>
      <c r="G21" s="173"/>
      <c r="H21" s="174"/>
      <c r="I21" s="174"/>
      <c r="J21" s="360">
        <f>J23+J28+J33+J37</f>
        <v>0</v>
      </c>
      <c r="K21" s="349">
        <f>J21/$J$45</f>
        <v>0</v>
      </c>
    </row>
    <row r="22" spans="1:11" ht="5.0999999999999996" customHeight="1">
      <c r="A22" s="159"/>
      <c r="B22" s="160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379</v>
      </c>
      <c r="C23" s="171"/>
      <c r="D23" s="171"/>
      <c r="E23" s="171"/>
      <c r="F23" s="172"/>
      <c r="G23" s="170"/>
      <c r="H23" s="171"/>
      <c r="I23" s="171"/>
      <c r="J23" s="361">
        <f>SUM(J24:J26)</f>
        <v>0</v>
      </c>
      <c r="K23" s="365">
        <f>SUM(K24:K26)</f>
        <v>0</v>
      </c>
    </row>
    <row r="24" spans="1:11" s="119" customFormat="1">
      <c r="A24" s="220" t="s">
        <v>351</v>
      </c>
      <c r="B24" s="220">
        <f>'P1'!B24</f>
        <v>65003710</v>
      </c>
      <c r="C24" s="220" t="str">
        <f>Custos!G32</f>
        <v>mar/2026</v>
      </c>
      <c r="D24" s="225" t="str">
        <f>Custos!D32</f>
        <v>COPASA</v>
      </c>
      <c r="E24" s="375" t="str">
        <f>Custos!B32</f>
        <v>Mobilização e desmobilização de equipe de topografia</v>
      </c>
      <c r="F24" s="222">
        <f>Custos!J32</f>
        <v>5.32</v>
      </c>
      <c r="G24" s="263" t="str">
        <f>Custos!H32</f>
        <v>km</v>
      </c>
      <c r="H24" s="263">
        <v>0</v>
      </c>
      <c r="I24" s="216">
        <f t="shared" ref="I24:I26" si="2">ROUND(H24*F24,2)</f>
        <v>0</v>
      </c>
      <c r="J24" s="216">
        <f>ROUND(I24*K!$F$20,2)</f>
        <v>0</v>
      </c>
      <c r="K24" s="228">
        <f>J24/$J$45</f>
        <v>0</v>
      </c>
    </row>
    <row r="25" spans="1:11" s="119" customFormat="1">
      <c r="A25" s="220" t="s">
        <v>358</v>
      </c>
      <c r="B25" s="220">
        <f>'P1'!B25</f>
        <v>65001667</v>
      </c>
      <c r="C25" s="220" t="str">
        <f>Custos!G33</f>
        <v>mar/2026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58490.33</v>
      </c>
      <c r="G25" s="263" t="str">
        <f>Custos!H33</f>
        <v>mês</v>
      </c>
      <c r="H25" s="263">
        <v>0</v>
      </c>
      <c r="I25" s="216">
        <f t="shared" si="2"/>
        <v>0</v>
      </c>
      <c r="J25" s="216">
        <f>ROUND(I25*K!$F$20,2)</f>
        <v>0</v>
      </c>
      <c r="K25" s="228">
        <f>J25/$J$45</f>
        <v>0</v>
      </c>
    </row>
    <row r="26" spans="1:11" s="119" customFormat="1">
      <c r="A26" s="220" t="s">
        <v>361</v>
      </c>
      <c r="B26" s="220">
        <f>'P1'!B26</f>
        <v>65001668</v>
      </c>
      <c r="C26" s="220" t="str">
        <f>Custos!G34</f>
        <v>mar/2026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31279.74</v>
      </c>
      <c r="G26" s="263" t="str">
        <f>Custos!H34</f>
        <v>mês</v>
      </c>
      <c r="H26" s="263">
        <v>0</v>
      </c>
      <c r="I26" s="216">
        <f t="shared" si="2"/>
        <v>0</v>
      </c>
      <c r="J26" s="216">
        <f>ROUND(I26*K!$F$20,2)</f>
        <v>0</v>
      </c>
      <c r="K26" s="228">
        <f>J26/$J$45</f>
        <v>0</v>
      </c>
    </row>
    <row r="27" spans="1:11" ht="10.5" customHeight="1">
      <c r="A27" s="159"/>
      <c r="B27" s="160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63" t="s">
        <v>649</v>
      </c>
      <c r="C28" s="163"/>
      <c r="D28" s="163"/>
      <c r="E28" s="163"/>
      <c r="F28" s="150"/>
      <c r="G28" s="148"/>
      <c r="H28" s="149"/>
      <c r="I28" s="149"/>
      <c r="J28" s="164">
        <f>SUM(J30:J30)</f>
        <v>0</v>
      </c>
      <c r="K28" s="364">
        <f>SUM(K30:K30)</f>
        <v>0</v>
      </c>
    </row>
    <row r="29" spans="1:11" s="119" customFormat="1">
      <c r="A29" s="220" t="s">
        <v>351</v>
      </c>
      <c r="B29" s="220">
        <f>'P1'!B29</f>
        <v>65001207</v>
      </c>
      <c r="C29" s="220" t="str">
        <f>Custos!G27</f>
        <v>mar/2026</v>
      </c>
      <c r="D29" s="225" t="str">
        <f>Custos!D27</f>
        <v>COPASA</v>
      </c>
      <c r="E29" s="375" t="str">
        <f>Custos!B27</f>
        <v>Sondagem a percussao - mobilizacao e desmobilizacao</v>
      </c>
      <c r="F29" s="222">
        <f>Custos!J27</f>
        <v>1417.53</v>
      </c>
      <c r="G29" s="263" t="str">
        <f>Custos!H27</f>
        <v>unidade</v>
      </c>
      <c r="H29" s="263">
        <v>0</v>
      </c>
      <c r="I29" s="216">
        <f t="shared" ref="I29:I31" si="3">ROUND(H29*F29,2)</f>
        <v>0</v>
      </c>
      <c r="J29" s="216">
        <f>ROUND(I29*K!$F$20,2)</f>
        <v>0</v>
      </c>
      <c r="K29" s="228">
        <f>J29/$J$45</f>
        <v>0</v>
      </c>
    </row>
    <row r="30" spans="1:11" s="119" customFormat="1">
      <c r="A30" s="220" t="s">
        <v>358</v>
      </c>
      <c r="B30" s="220">
        <f>'P1'!B30</f>
        <v>65001209</v>
      </c>
      <c r="C30" s="220" t="str">
        <f>Custos!G28</f>
        <v>mar/2026</v>
      </c>
      <c r="D30" s="225" t="str">
        <f>Custos!D28</f>
        <v>COPASA</v>
      </c>
      <c r="E30" s="375" t="str">
        <f>Custos!B28</f>
        <v>Sondagem a percussao - instalacao por furo</v>
      </c>
      <c r="F30" s="222">
        <f>Custos!J28</f>
        <v>506.64</v>
      </c>
      <c r="G30" s="263" t="str">
        <f>Custos!H28</f>
        <v>unidade</v>
      </c>
      <c r="H30" s="263">
        <v>0</v>
      </c>
      <c r="I30" s="216">
        <f t="shared" si="3"/>
        <v>0</v>
      </c>
      <c r="J30" s="216">
        <f>ROUND(I30*K!$F$20,2)</f>
        <v>0</v>
      </c>
      <c r="K30" s="228">
        <f>J30/$J$45</f>
        <v>0</v>
      </c>
    </row>
    <row r="31" spans="1:11" s="119" customFormat="1" ht="26.45" customHeight="1">
      <c r="A31" s="220" t="s">
        <v>361</v>
      </c>
      <c r="B31" s="220">
        <f>'P1'!B31</f>
        <v>65001210</v>
      </c>
      <c r="C31" s="225" t="str">
        <f>Custos!G29</f>
        <v>mar/2026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155.6</v>
      </c>
      <c r="G31" s="376" t="str">
        <f>Custos!H29</f>
        <v>m</v>
      </c>
      <c r="H31" s="263">
        <v>0</v>
      </c>
      <c r="I31" s="216">
        <f t="shared" si="3"/>
        <v>0</v>
      </c>
      <c r="J31" s="216">
        <f>ROUND(I31*K!$F$20,2)</f>
        <v>0</v>
      </c>
      <c r="K31" s="228">
        <f>J31/$J$45</f>
        <v>0</v>
      </c>
    </row>
    <row r="32" spans="1:11" ht="6" customHeight="1">
      <c r="A32" s="152"/>
      <c r="B32" s="152"/>
      <c r="C32" s="152"/>
      <c r="D32" s="152"/>
      <c r="E32" s="153"/>
      <c r="F32" s="154"/>
      <c r="G32" s="177"/>
      <c r="H32" s="223"/>
      <c r="I32" s="155"/>
      <c r="J32" s="155"/>
      <c r="K32" s="184"/>
    </row>
    <row r="33" spans="1:11" s="118" customFormat="1" ht="18" customHeight="1">
      <c r="A33" s="148" t="s">
        <v>70</v>
      </c>
      <c r="B33" s="163" t="s">
        <v>384</v>
      </c>
      <c r="C33" s="163"/>
      <c r="D33" s="163"/>
      <c r="E33" s="163"/>
      <c r="F33" s="150"/>
      <c r="G33" s="148"/>
      <c r="H33" s="149"/>
      <c r="I33" s="149"/>
      <c r="J33" s="164">
        <f>SUM(J34:J35)</f>
        <v>0</v>
      </c>
      <c r="K33" s="364">
        <f>SUM(K34:K35)</f>
        <v>0</v>
      </c>
    </row>
    <row r="34" spans="1:11" s="119" customFormat="1">
      <c r="A34" s="220" t="s">
        <v>351</v>
      </c>
      <c r="B34" s="220">
        <f>'P1'!B34</f>
        <v>65001667</v>
      </c>
      <c r="C34" s="220" t="str">
        <f>Custos!G37</f>
        <v>mar/2026</v>
      </c>
      <c r="D34" s="225" t="str">
        <f>Custos!D37</f>
        <v>COPASA</v>
      </c>
      <c r="E34" s="375" t="str">
        <f>Custos!B37</f>
        <v>Equipe de topografia de campo</v>
      </c>
      <c r="F34" s="222">
        <f>Custos!J37</f>
        <v>58490.33</v>
      </c>
      <c r="G34" s="263" t="str">
        <f>Custos!H37</f>
        <v>mês</v>
      </c>
      <c r="H34" s="263">
        <v>0</v>
      </c>
      <c r="I34" s="216">
        <f t="shared" ref="I34:I35" si="4">ROUND(H34*F34,2)</f>
        <v>0</v>
      </c>
      <c r="J34" s="216">
        <f>ROUND(I34*K!$F$20,2)</f>
        <v>0</v>
      </c>
      <c r="K34" s="228">
        <f>J34/$J$45</f>
        <v>0</v>
      </c>
    </row>
    <row r="35" spans="1:11" s="119" customFormat="1">
      <c r="A35" s="220" t="s">
        <v>358</v>
      </c>
      <c r="B35" s="220">
        <f>'P1'!B35</f>
        <v>65001668</v>
      </c>
      <c r="C35" s="220" t="str">
        <f>Custos!G38</f>
        <v>mar/2026</v>
      </c>
      <c r="D35" s="225" t="str">
        <f>Custos!D38</f>
        <v>COPASA</v>
      </c>
      <c r="E35" s="375" t="str">
        <f>Custos!B38</f>
        <v>Equipe de topografia de escritório</v>
      </c>
      <c r="F35" s="222">
        <f>Custos!J38</f>
        <v>31279.74</v>
      </c>
      <c r="G35" s="263" t="str">
        <f>Custos!H38</f>
        <v>mês</v>
      </c>
      <c r="H35" s="263">
        <v>0</v>
      </c>
      <c r="I35" s="216">
        <f t="shared" si="4"/>
        <v>0</v>
      </c>
      <c r="J35" s="216">
        <f>ROUND(I35*K!$F$20,2)</f>
        <v>0</v>
      </c>
      <c r="K35" s="228">
        <f>J35/$J$45</f>
        <v>0</v>
      </c>
    </row>
    <row r="36" spans="1:11" ht="5.0999999999999996" customHeight="1">
      <c r="A36" s="220"/>
      <c r="B36" s="225"/>
      <c r="C36" s="225"/>
      <c r="D36" s="220"/>
      <c r="E36" s="165"/>
      <c r="F36" s="157"/>
      <c r="G36" s="214"/>
      <c r="H36" s="223"/>
      <c r="I36" s="151"/>
      <c r="J36" s="151"/>
      <c r="K36" s="183"/>
    </row>
    <row r="37" spans="1:11" s="118" customFormat="1" ht="18" customHeight="1">
      <c r="A37" s="148" t="s">
        <v>71</v>
      </c>
      <c r="B37" s="149" t="s">
        <v>386</v>
      </c>
      <c r="C37" s="163"/>
      <c r="D37" s="163"/>
      <c r="E37" s="163"/>
      <c r="F37" s="150"/>
      <c r="G37" s="148"/>
      <c r="H37" s="149"/>
      <c r="I37" s="149"/>
      <c r="J37" s="164">
        <f>SUM(J38:J39)</f>
        <v>0</v>
      </c>
      <c r="K37" s="364">
        <f>SUM(K38:K39)</f>
        <v>0</v>
      </c>
    </row>
    <row r="38" spans="1:11" s="119" customFormat="1">
      <c r="A38" s="225" t="s">
        <v>351</v>
      </c>
      <c r="B38" s="406">
        <f>Custos!E43</f>
        <v>65001114</v>
      </c>
      <c r="C38" s="225" t="str">
        <f>Custos!G43</f>
        <v>mar/2026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453.96</v>
      </c>
      <c r="G38" s="225" t="str">
        <f>Custos!H43</f>
        <v>unidade</v>
      </c>
      <c r="H38" s="263">
        <f>Serviços!I17</f>
        <v>0</v>
      </c>
      <c r="I38" s="216">
        <f t="shared" ref="I38:I39" si="5">ROUND(H38*F38,2)</f>
        <v>0</v>
      </c>
      <c r="J38" s="216">
        <f>ROUND(I38*K!$F$20,2)</f>
        <v>0</v>
      </c>
      <c r="K38" s="228">
        <f>J38/$J$45</f>
        <v>0</v>
      </c>
    </row>
    <row r="39" spans="1:11" s="119" customFormat="1">
      <c r="A39" s="225" t="s">
        <v>358</v>
      </c>
      <c r="B39" s="406">
        <f>Custos!E44</f>
        <v>65001115</v>
      </c>
      <c r="C39" s="225" t="str">
        <f>Custos!G44</f>
        <v>mar/2026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179.28</v>
      </c>
      <c r="G39" s="225" t="str">
        <f>Custos!H44</f>
        <v>unidade</v>
      </c>
      <c r="H39" s="263">
        <f>Serviços!I18</f>
        <v>0</v>
      </c>
      <c r="I39" s="216">
        <f t="shared" si="5"/>
        <v>0</v>
      </c>
      <c r="J39" s="216">
        <f>ROUND(I39*K!$F$20,2)</f>
        <v>0</v>
      </c>
      <c r="K39" s="228">
        <f>J39/$J$45</f>
        <v>0</v>
      </c>
    </row>
    <row r="40" spans="1:11" s="118" customFormat="1" ht="18" customHeight="1">
      <c r="A40" s="354" t="s">
        <v>681</v>
      </c>
      <c r="B40" s="355" t="s">
        <v>682</v>
      </c>
      <c r="C40" s="355"/>
      <c r="D40" s="355"/>
      <c r="E40" s="174"/>
      <c r="F40" s="175"/>
      <c r="G40" s="173"/>
      <c r="H40" s="174"/>
      <c r="I40" s="174"/>
      <c r="J40" s="360">
        <f>J42</f>
        <v>0</v>
      </c>
      <c r="K40" s="349">
        <f>J40/$J$45</f>
        <v>0</v>
      </c>
    </row>
    <row r="41" spans="1:11" ht="5.0999999999999996" customHeight="1">
      <c r="A41" s="356"/>
      <c r="B41" s="160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385</v>
      </c>
      <c r="C42" s="149"/>
      <c r="D42" s="149"/>
      <c r="E42" s="149"/>
      <c r="F42" s="150"/>
      <c r="G42" s="148"/>
      <c r="H42" s="149"/>
      <c r="I42" s="149"/>
      <c r="J42" s="169">
        <f>SUM(J43:J43)</f>
        <v>0</v>
      </c>
      <c r="K42" s="363">
        <f>SUM(K43:K43)</f>
        <v>0</v>
      </c>
    </row>
    <row r="43" spans="1:11" s="119" customFormat="1" ht="96.6">
      <c r="A43" s="220" t="s">
        <v>351</v>
      </c>
      <c r="B43" s="225" t="str">
        <f>Custos!F46</f>
        <v>-</v>
      </c>
      <c r="C43" s="225" t="str">
        <f>Custos!G46</f>
        <v>jan/2026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'Produto Consolidado'!F43</f>
        <v>1.02</v>
      </c>
      <c r="G43" s="263" t="str">
        <f>'P1'!G43</f>
        <v>R$/dia</v>
      </c>
      <c r="H43" s="263">
        <v>0</v>
      </c>
      <c r="I43" s="216">
        <f>ROUND(H43*F43,2)</f>
        <v>0</v>
      </c>
      <c r="J43" s="216">
        <f>ROUND(I43*K!$F$20,2)</f>
        <v>0</v>
      </c>
      <c r="K43" s="228">
        <f>J43/$J$45</f>
        <v>0</v>
      </c>
    </row>
    <row r="44" spans="1:11" ht="6" customHeight="1">
      <c r="A44" s="143"/>
      <c r="B44" s="152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80" t="s">
        <v>684</v>
      </c>
      <c r="B45" s="780"/>
      <c r="C45" s="780"/>
      <c r="D45" s="780"/>
      <c r="E45" s="780"/>
      <c r="F45" s="357"/>
      <c r="G45" s="358"/>
      <c r="H45" s="359"/>
      <c r="I45" s="357" t="s">
        <v>685</v>
      </c>
      <c r="J45" s="357">
        <f>ROUND((J7+J14+J21+J40),2)</f>
        <v>13830.9</v>
      </c>
      <c r="K45" s="362">
        <f>K7+K14+K21+K40</f>
        <v>1</v>
      </c>
    </row>
    <row r="46" spans="1:11" ht="6" customHeight="1">
      <c r="A46" s="122"/>
      <c r="B46" s="78"/>
      <c r="C46" s="78"/>
      <c r="D46" s="123"/>
      <c r="E46" s="124"/>
      <c r="F46" s="129"/>
      <c r="G46" s="123"/>
      <c r="H46" s="121"/>
      <c r="I46" s="125"/>
      <c r="J46" s="117"/>
      <c r="K46" s="232"/>
    </row>
    <row r="47" spans="1:11" ht="20.100000000000001" customHeight="1">
      <c r="A47" s="144" t="s">
        <v>297</v>
      </c>
      <c r="B47" s="145"/>
      <c r="C47" s="145"/>
      <c r="D47" s="145"/>
      <c r="E47" s="145"/>
      <c r="F47" s="146"/>
      <c r="G47" s="178"/>
      <c r="H47" s="145"/>
      <c r="I47" s="145"/>
      <c r="J47" s="145"/>
      <c r="K47" s="146"/>
    </row>
    <row r="48" spans="1:11" ht="24" customHeight="1">
      <c r="A48" s="147" t="s">
        <v>686</v>
      </c>
      <c r="B48" s="782" t="s">
        <v>687</v>
      </c>
      <c r="C48" s="782"/>
      <c r="D48" s="782"/>
      <c r="E48" s="782"/>
      <c r="F48" s="782"/>
      <c r="G48" s="782"/>
      <c r="H48" s="782"/>
      <c r="I48" s="782"/>
      <c r="J48" s="782"/>
      <c r="K48" s="782"/>
    </row>
    <row r="49" spans="1:11" ht="13.15" customHeight="1">
      <c r="A49" s="147" t="s">
        <v>688</v>
      </c>
      <c r="B49" s="781" t="s">
        <v>689</v>
      </c>
      <c r="C49" s="781"/>
      <c r="D49" s="781"/>
      <c r="E49" s="781"/>
      <c r="F49" s="781"/>
      <c r="G49" s="781"/>
      <c r="H49" s="781"/>
      <c r="I49" s="781"/>
      <c r="J49" s="781"/>
      <c r="K49" s="781"/>
    </row>
    <row r="50" spans="1:11" ht="13.15" customHeight="1">
      <c r="A50" s="147"/>
      <c r="B50" s="280"/>
      <c r="C50" s="280"/>
      <c r="D50" s="280"/>
      <c r="E50" s="280"/>
      <c r="F50" s="280"/>
      <c r="G50" s="280"/>
      <c r="H50" s="280"/>
      <c r="I50" s="280"/>
      <c r="J50" s="280"/>
      <c r="K50" s="280"/>
    </row>
  </sheetData>
  <mergeCells count="5">
    <mergeCell ref="D1:K1"/>
    <mergeCell ref="F6:G6"/>
    <mergeCell ref="A45:E45"/>
    <mergeCell ref="B48:K48"/>
    <mergeCell ref="B49:K49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1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8AD18-76A3-4BFA-A7F0-2DE85BECF4A6}">
  <sheetPr>
    <tabColor theme="8" tint="-0.249977111117893"/>
    <pageSetUpPr fitToPage="1"/>
  </sheetPr>
  <dimension ref="A1:M50"/>
  <sheetViews>
    <sheetView view="pageBreakPreview" topLeftCell="A29" zoomScale="115" zoomScaleNormal="100" zoomScaleSheetLayoutView="115" workbookViewId="0">
      <selection activeCell="D20" sqref="D20"/>
    </sheetView>
  </sheetViews>
  <sheetFormatPr defaultColWidth="9.140625" defaultRowHeight="15.6"/>
  <cols>
    <col min="1" max="1" width="5" style="79" customWidth="1"/>
    <col min="2" max="3" width="10" style="79" customWidth="1"/>
    <col min="4" max="4" width="13.8554687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3" ht="41.45" customHeight="1">
      <c r="A1" s="60"/>
      <c r="B1" s="579"/>
      <c r="C1" s="579"/>
      <c r="D1" s="783" t="str">
        <f>P7a!D1</f>
        <v xml:space="preserve">ORÇAMENTO PARA ELABORAÇÃO DE PROJETO DE SISTEMA DE ESGOTAMENTO SANITÁRIO </v>
      </c>
      <c r="E1" s="783"/>
      <c r="F1" s="783"/>
      <c r="G1" s="783"/>
      <c r="H1" s="783"/>
      <c r="I1" s="783"/>
      <c r="J1" s="783"/>
      <c r="K1" s="783"/>
    </row>
    <row r="2" spans="1:13" s="118" customFormat="1" ht="15" customHeight="1">
      <c r="A2" s="59" t="s">
        <v>699</v>
      </c>
      <c r="B2" s="181"/>
      <c r="C2" s="64" t="str">
        <f>_xlfn.CONCAT('Horas trabalhadas'!J8)</f>
        <v>Estudos Ambientais Consolidados</v>
      </c>
      <c r="D2" s="181"/>
      <c r="E2" s="181"/>
      <c r="F2" s="580"/>
      <c r="G2" s="581"/>
      <c r="H2" s="181"/>
      <c r="I2" s="181"/>
      <c r="J2" s="65" t="s">
        <v>143</v>
      </c>
      <c r="K2" s="76">
        <f ca="1">'Dados Básicos do município'!H4</f>
        <v>46170</v>
      </c>
    </row>
    <row r="3" spans="1:13" s="118" customFormat="1" ht="15" customHeight="1">
      <c r="A3" s="59" t="s">
        <v>144</v>
      </c>
      <c r="B3" s="181"/>
      <c r="C3" s="64" t="str">
        <f>'Dados Básicos do município'!B5</f>
        <v>CBH-PIRANGA</v>
      </c>
      <c r="D3" s="181"/>
      <c r="E3" s="181"/>
      <c r="F3" s="580"/>
      <c r="G3" s="581"/>
      <c r="H3" s="181"/>
      <c r="I3" s="181"/>
      <c r="J3" s="181"/>
      <c r="K3" s="580"/>
    </row>
    <row r="4" spans="1:13" s="118" customFormat="1" ht="15" customHeight="1">
      <c r="A4" s="59" t="s">
        <v>145</v>
      </c>
      <c r="B4" s="181"/>
      <c r="C4" s="64" t="str">
        <f>'Dados Básicos do município'!B6</f>
        <v>São Miguel do Anta/MG</v>
      </c>
      <c r="D4" s="181"/>
      <c r="E4" s="181"/>
      <c r="F4" s="580"/>
      <c r="G4" s="581"/>
      <c r="H4" s="181"/>
      <c r="I4" s="181"/>
      <c r="J4" s="61"/>
      <c r="K4" s="65"/>
    </row>
    <row r="5" spans="1:13" ht="6" customHeight="1">
      <c r="A5" s="582"/>
      <c r="B5" s="582"/>
      <c r="C5" s="582"/>
      <c r="D5" s="582"/>
      <c r="E5" s="583"/>
      <c r="F5" s="584"/>
      <c r="G5" s="585"/>
      <c r="H5" s="586"/>
      <c r="I5" s="587"/>
      <c r="J5" s="587"/>
      <c r="K5" s="588"/>
    </row>
    <row r="6" spans="1:13" s="130" customFormat="1" ht="47.45" customHeight="1">
      <c r="A6" s="341" t="s">
        <v>670</v>
      </c>
      <c r="B6" s="341" t="s">
        <v>19</v>
      </c>
      <c r="C6" s="341" t="s">
        <v>671</v>
      </c>
      <c r="D6" s="341" t="s">
        <v>672</v>
      </c>
      <c r="E6" s="342" t="s">
        <v>673</v>
      </c>
      <c r="F6" s="779" t="s">
        <v>674</v>
      </c>
      <c r="G6" s="779"/>
      <c r="H6" s="343" t="s">
        <v>675</v>
      </c>
      <c r="I6" s="344" t="s">
        <v>676</v>
      </c>
      <c r="J6" s="344" t="s">
        <v>677</v>
      </c>
      <c r="K6" s="344" t="s">
        <v>678</v>
      </c>
    </row>
    <row r="7" spans="1:13" s="118" customFormat="1" ht="18" customHeight="1">
      <c r="A7" s="345">
        <v>1</v>
      </c>
      <c r="B7" s="346" t="s">
        <v>679</v>
      </c>
      <c r="C7" s="346"/>
      <c r="D7" s="346"/>
      <c r="E7" s="346"/>
      <c r="F7" s="347"/>
      <c r="G7" s="345"/>
      <c r="H7" s="346"/>
      <c r="I7" s="346"/>
      <c r="J7" s="348">
        <f>J9</f>
        <v>8652.2200000000012</v>
      </c>
      <c r="K7" s="349">
        <f>J7/$J$45</f>
        <v>0.30552347107081984</v>
      </c>
    </row>
    <row r="8" spans="1:13" ht="6" customHeight="1">
      <c r="A8" s="152"/>
      <c r="B8" s="152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349</v>
      </c>
      <c r="C9" s="171"/>
      <c r="D9" s="171"/>
      <c r="E9" s="171"/>
      <c r="F9" s="172"/>
      <c r="G9" s="170"/>
      <c r="H9" s="171"/>
      <c r="I9" s="171"/>
      <c r="J9" s="361">
        <f>SUM(J10:J12)</f>
        <v>8652.2200000000012</v>
      </c>
      <c r="K9" s="365">
        <f>SUM(K10:K12)</f>
        <v>0.30549999999999999</v>
      </c>
    </row>
    <row r="10" spans="1:13" s="119" customFormat="1" ht="16.149999999999999" customHeight="1">
      <c r="A10" s="220" t="s">
        <v>351</v>
      </c>
      <c r="B10" s="213" t="str">
        <f>'P1'!B10</f>
        <v>P8061</v>
      </c>
      <c r="C10" s="213" t="str">
        <f>Custos!G13</f>
        <v>jan/2026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131.97</v>
      </c>
      <c r="G10" s="214" t="s">
        <v>356</v>
      </c>
      <c r="H10" s="382">
        <f>'Horas trabalhadas'!J9</f>
        <v>19.38</v>
      </c>
      <c r="I10" s="216">
        <f>ROUND(H10*F10,2)</f>
        <v>2557.58</v>
      </c>
      <c r="J10" s="216">
        <f>ROUND(I10*K!$F$19,2)</f>
        <v>6445.1</v>
      </c>
      <c r="K10" s="228">
        <f>ROUND(J10/$J$45,4)</f>
        <v>0.2276</v>
      </c>
      <c r="M10" s="120"/>
    </row>
    <row r="11" spans="1:13" s="119" customFormat="1" ht="16.149999999999999" customHeight="1">
      <c r="A11" s="220" t="s">
        <v>358</v>
      </c>
      <c r="B11" s="213" t="str">
        <f>'P1'!B11</f>
        <v>P8066</v>
      </c>
      <c r="C11" s="217" t="str">
        <f>Custos!G14</f>
        <v>jan/2026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99.01</v>
      </c>
      <c r="G11" s="218" t="s">
        <v>356</v>
      </c>
      <c r="H11" s="382">
        <f>'Horas trabalhadas'!J10</f>
        <v>0</v>
      </c>
      <c r="I11" s="216">
        <f t="shared" ref="I11:I12" si="0">ROUND(H11*F11,2)</f>
        <v>0</v>
      </c>
      <c r="J11" s="216">
        <f>ROUND(I11*K!$F$19,2)</f>
        <v>0</v>
      </c>
      <c r="K11" s="228">
        <f>ROUND(J11/$J$45,4)</f>
        <v>0</v>
      </c>
      <c r="M11" s="120"/>
    </row>
    <row r="12" spans="1:13" s="119" customFormat="1" ht="16.149999999999999" customHeight="1">
      <c r="A12" s="220" t="s">
        <v>361</v>
      </c>
      <c r="B12" s="213" t="str">
        <f>'P1'!B12</f>
        <v>P8026</v>
      </c>
      <c r="C12" s="217" t="str">
        <f>Custos!G15</f>
        <v>jan/2026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13.56</v>
      </c>
      <c r="G12" s="218" t="s">
        <v>356</v>
      </c>
      <c r="H12" s="382">
        <f>'Horas trabalhadas'!J11</f>
        <v>64.59</v>
      </c>
      <c r="I12" s="216">
        <f t="shared" si="0"/>
        <v>875.84</v>
      </c>
      <c r="J12" s="216">
        <f>ROUND(I12*K!$F$19,2)</f>
        <v>2207.12</v>
      </c>
      <c r="K12" s="228">
        <f>ROUND(J12/$J$45,4)</f>
        <v>7.7899999999999997E-2</v>
      </c>
      <c r="M12" s="120"/>
    </row>
    <row r="13" spans="1:13" ht="6" customHeight="1">
      <c r="A13" s="152"/>
      <c r="B13" s="152"/>
      <c r="C13" s="152"/>
      <c r="D13" s="152"/>
      <c r="E13" s="153"/>
      <c r="F13" s="154"/>
      <c r="G13" s="177"/>
      <c r="H13" s="156"/>
      <c r="I13" s="155"/>
      <c r="J13" s="155"/>
      <c r="K13" s="184"/>
    </row>
    <row r="14" spans="1:13" s="118" customFormat="1" ht="18" customHeight="1">
      <c r="A14" s="345">
        <v>2</v>
      </c>
      <c r="B14" s="346" t="s">
        <v>365</v>
      </c>
      <c r="C14" s="346"/>
      <c r="D14" s="346"/>
      <c r="E14" s="346"/>
      <c r="F14" s="347"/>
      <c r="G14" s="345"/>
      <c r="H14" s="346"/>
      <c r="I14" s="346"/>
      <c r="J14" s="348">
        <f>J16</f>
        <v>19667.11</v>
      </c>
      <c r="K14" s="349">
        <f>J14/$J$45</f>
        <v>0.6944765289291801</v>
      </c>
    </row>
    <row r="15" spans="1:13" ht="5.0999999999999996" customHeight="1">
      <c r="A15" s="159"/>
      <c r="B15" s="160"/>
      <c r="C15" s="160"/>
      <c r="D15" s="161"/>
      <c r="E15" s="162"/>
      <c r="F15" s="157"/>
      <c r="G15" s="151"/>
      <c r="H15" s="158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365</v>
      </c>
      <c r="C16" s="351"/>
      <c r="D16" s="351"/>
      <c r="E16" s="351"/>
      <c r="F16" s="352"/>
      <c r="G16" s="350"/>
      <c r="H16" s="351"/>
      <c r="I16" s="352"/>
      <c r="J16" s="353">
        <f>SUM(J17:J19)</f>
        <v>19667.11</v>
      </c>
      <c r="K16" s="366">
        <f>SUM(K17:K19)</f>
        <v>0.69450000000000001</v>
      </c>
    </row>
    <row r="17" spans="1:11" s="119" customFormat="1" ht="16.149999999999999" customHeight="1">
      <c r="A17" s="220" t="s">
        <v>351</v>
      </c>
      <c r="B17" s="213" t="str">
        <f>'P1'!B17</f>
        <v>P8067</v>
      </c>
      <c r="C17" s="213" t="str">
        <f>Custos!G20</f>
        <v>jan/2026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115.11</v>
      </c>
      <c r="G17" s="214" t="s">
        <v>356</v>
      </c>
      <c r="H17" s="382">
        <f>'Horas trabalhadas'!J12</f>
        <v>0</v>
      </c>
      <c r="I17" s="216">
        <f t="shared" ref="I17:I19" si="1">ROUND(H17*F17,2)</f>
        <v>0</v>
      </c>
      <c r="J17" s="216">
        <f>ROUND(I17*K!$F$19,2)</f>
        <v>0</v>
      </c>
      <c r="K17" s="227">
        <f>ROUND(J17/$J$45,4)</f>
        <v>0</v>
      </c>
    </row>
    <row r="18" spans="1:11" s="119" customFormat="1" ht="16.149999999999999" customHeight="1">
      <c r="A18" s="220" t="s">
        <v>358</v>
      </c>
      <c r="B18" s="213" t="str">
        <f>'P1'!B18</f>
        <v>P8067</v>
      </c>
      <c r="C18" s="213" t="str">
        <f>Custos!G21</f>
        <v>jan/2026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115.11</v>
      </c>
      <c r="G18" s="214" t="s">
        <v>356</v>
      </c>
      <c r="H18" s="382">
        <f>'Horas trabalhadas'!J13</f>
        <v>0</v>
      </c>
      <c r="I18" s="216">
        <f t="shared" si="1"/>
        <v>0</v>
      </c>
      <c r="J18" s="216">
        <f>ROUND(I18*K!$F$19,2)</f>
        <v>0</v>
      </c>
      <c r="K18" s="227">
        <f>ROUND(J18/$J$45,4)</f>
        <v>0</v>
      </c>
    </row>
    <row r="19" spans="1:11" s="119" customFormat="1" ht="16.149999999999999" customHeight="1">
      <c r="A19" s="220" t="s">
        <v>361</v>
      </c>
      <c r="B19" s="213" t="str">
        <f>'P1'!B19</f>
        <v>P8059</v>
      </c>
      <c r="C19" s="213" t="str">
        <f>Custos!G22</f>
        <v>jan/2026</v>
      </c>
      <c r="D19" s="218" t="str">
        <f>Custos!D22</f>
        <v>DNIT</v>
      </c>
      <c r="E19" s="215" t="str">
        <f>Custos!B22</f>
        <v>Engenheiro ambiental</v>
      </c>
      <c r="F19" s="216">
        <f>Custos!J22</f>
        <v>120.83</v>
      </c>
      <c r="G19" s="214" t="s">
        <v>356</v>
      </c>
      <c r="H19" s="382">
        <f>'Horas trabalhadas'!J14</f>
        <v>64.59</v>
      </c>
      <c r="I19" s="216">
        <f t="shared" si="1"/>
        <v>7804.41</v>
      </c>
      <c r="J19" s="216">
        <f>ROUND(I19*K!$F$19,2)</f>
        <v>19667.11</v>
      </c>
      <c r="K19" s="227">
        <f>ROUND(J19/$J$45,4)</f>
        <v>0.69450000000000001</v>
      </c>
    </row>
    <row r="20" spans="1:11" ht="6" customHeight="1">
      <c r="A20" s="152"/>
      <c r="B20" s="152"/>
      <c r="C20" s="152"/>
      <c r="D20" s="152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355" t="s">
        <v>138</v>
      </c>
      <c r="C21" s="355"/>
      <c r="D21" s="355"/>
      <c r="E21" s="174"/>
      <c r="F21" s="175"/>
      <c r="G21" s="173"/>
      <c r="H21" s="174"/>
      <c r="I21" s="174"/>
      <c r="J21" s="360">
        <f>J23+J28+J33+J37</f>
        <v>0</v>
      </c>
      <c r="K21" s="349">
        <f>J21/$J$45</f>
        <v>0</v>
      </c>
    </row>
    <row r="22" spans="1:11" ht="5.0999999999999996" customHeight="1">
      <c r="A22" s="159"/>
      <c r="B22" s="160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379</v>
      </c>
      <c r="C23" s="171"/>
      <c r="D23" s="171"/>
      <c r="E23" s="171"/>
      <c r="F23" s="172"/>
      <c r="G23" s="170"/>
      <c r="H23" s="171"/>
      <c r="I23" s="171"/>
      <c r="J23" s="361">
        <f>SUM(J24:J26)</f>
        <v>0</v>
      </c>
      <c r="K23" s="365">
        <f>SUM(K24:K26)</f>
        <v>0</v>
      </c>
    </row>
    <row r="24" spans="1:11" s="119" customFormat="1">
      <c r="A24" s="220" t="s">
        <v>351</v>
      </c>
      <c r="B24" s="220">
        <f>'P1'!B24</f>
        <v>65003710</v>
      </c>
      <c r="C24" s="220" t="str">
        <f>Custos!G32</f>
        <v>mar/2026</v>
      </c>
      <c r="D24" s="225" t="str">
        <f>Custos!D32</f>
        <v>COPASA</v>
      </c>
      <c r="E24" s="375" t="str">
        <f>Custos!B32</f>
        <v>Mobilização e desmobilização de equipe de topografia</v>
      </c>
      <c r="F24" s="222">
        <f>Custos!J32</f>
        <v>5.32</v>
      </c>
      <c r="G24" s="263" t="str">
        <f>Custos!H32</f>
        <v>km</v>
      </c>
      <c r="H24" s="263">
        <v>0</v>
      </c>
      <c r="I24" s="216">
        <f t="shared" ref="I24:I26" si="2">ROUND(H24*F24,2)</f>
        <v>0</v>
      </c>
      <c r="J24" s="216">
        <f>ROUND(I24*K!$F$20,2)</f>
        <v>0</v>
      </c>
      <c r="K24" s="228">
        <f>ROUND(J24/$J$45,4)</f>
        <v>0</v>
      </c>
    </row>
    <row r="25" spans="1:11" s="119" customFormat="1">
      <c r="A25" s="220" t="s">
        <v>358</v>
      </c>
      <c r="B25" s="220">
        <f>'P1'!B25</f>
        <v>65001667</v>
      </c>
      <c r="C25" s="220" t="str">
        <f>Custos!G33</f>
        <v>mar/2026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58490.33</v>
      </c>
      <c r="G25" s="263" t="str">
        <f>Custos!H33</f>
        <v>mês</v>
      </c>
      <c r="H25" s="263">
        <v>0</v>
      </c>
      <c r="I25" s="216">
        <f t="shared" si="2"/>
        <v>0</v>
      </c>
      <c r="J25" s="216">
        <f>ROUND(I25*K!$F$20,2)</f>
        <v>0</v>
      </c>
      <c r="K25" s="228">
        <f>ROUND(J25/$J$45,4)</f>
        <v>0</v>
      </c>
    </row>
    <row r="26" spans="1:11" s="119" customFormat="1">
      <c r="A26" s="220" t="s">
        <v>361</v>
      </c>
      <c r="B26" s="220">
        <f>'P1'!B26</f>
        <v>65001668</v>
      </c>
      <c r="C26" s="220" t="str">
        <f>Custos!G34</f>
        <v>mar/2026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31279.74</v>
      </c>
      <c r="G26" s="263" t="str">
        <f>Custos!H34</f>
        <v>mês</v>
      </c>
      <c r="H26" s="263">
        <v>0</v>
      </c>
      <c r="I26" s="216">
        <f t="shared" si="2"/>
        <v>0</v>
      </c>
      <c r="J26" s="216">
        <f>ROUND(I26*K!$F$20,2)</f>
        <v>0</v>
      </c>
      <c r="K26" s="228">
        <f>ROUND(J26/$J$45,4)</f>
        <v>0</v>
      </c>
    </row>
    <row r="27" spans="1:11" ht="10.5" customHeight="1">
      <c r="A27" s="159"/>
      <c r="B27" s="160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63" t="s">
        <v>649</v>
      </c>
      <c r="C28" s="163"/>
      <c r="D28" s="163"/>
      <c r="E28" s="163"/>
      <c r="F28" s="150"/>
      <c r="G28" s="148"/>
      <c r="H28" s="149"/>
      <c r="I28" s="149"/>
      <c r="J28" s="164">
        <f>SUM(J30:J30)</f>
        <v>0</v>
      </c>
      <c r="K28" s="364">
        <f>SUM(K30:K30)</f>
        <v>0</v>
      </c>
    </row>
    <row r="29" spans="1:11" s="119" customFormat="1">
      <c r="A29" s="220" t="s">
        <v>351</v>
      </c>
      <c r="B29" s="220">
        <f>'P1'!B29</f>
        <v>65001207</v>
      </c>
      <c r="C29" s="220" t="str">
        <f>Custos!G27</f>
        <v>mar/2026</v>
      </c>
      <c r="D29" s="225" t="str">
        <f>Custos!D27</f>
        <v>COPASA</v>
      </c>
      <c r="E29" s="375" t="str">
        <f>Custos!B27</f>
        <v>Sondagem a percussao - mobilizacao e desmobilizacao</v>
      </c>
      <c r="F29" s="222">
        <f>Custos!J27</f>
        <v>1417.53</v>
      </c>
      <c r="G29" s="263" t="str">
        <f>Custos!H27</f>
        <v>unidade</v>
      </c>
      <c r="H29" s="263">
        <v>0</v>
      </c>
      <c r="I29" s="216">
        <f t="shared" ref="I29:I31" si="3">ROUND(H29*F29,2)</f>
        <v>0</v>
      </c>
      <c r="J29" s="216">
        <f>ROUND(I29*K!$F$20,2)</f>
        <v>0</v>
      </c>
      <c r="K29" s="228">
        <f>ROUND(J29/$J$45,4)</f>
        <v>0</v>
      </c>
    </row>
    <row r="30" spans="1:11" s="119" customFormat="1">
      <c r="A30" s="220" t="s">
        <v>358</v>
      </c>
      <c r="B30" s="220">
        <f>'P1'!B30</f>
        <v>65001209</v>
      </c>
      <c r="C30" s="220" t="str">
        <f>Custos!G28</f>
        <v>mar/2026</v>
      </c>
      <c r="D30" s="225" t="str">
        <f>Custos!D28</f>
        <v>COPASA</v>
      </c>
      <c r="E30" s="375" t="str">
        <f>Custos!B28</f>
        <v>Sondagem a percussao - instalacao por furo</v>
      </c>
      <c r="F30" s="222">
        <f>Custos!J28</f>
        <v>506.64</v>
      </c>
      <c r="G30" s="263" t="str">
        <f>Custos!H28</f>
        <v>unidade</v>
      </c>
      <c r="H30" s="263">
        <v>0</v>
      </c>
      <c r="I30" s="216">
        <f t="shared" si="3"/>
        <v>0</v>
      </c>
      <c r="J30" s="216">
        <f>ROUND(I30*K!$F$20,2)</f>
        <v>0</v>
      </c>
      <c r="K30" s="228">
        <f>ROUND(J30/$J$45,4)</f>
        <v>0</v>
      </c>
    </row>
    <row r="31" spans="1:11" s="119" customFormat="1" ht="26.45" customHeight="1">
      <c r="A31" s="220" t="s">
        <v>361</v>
      </c>
      <c r="B31" s="220">
        <f>'P1'!B31</f>
        <v>65001210</v>
      </c>
      <c r="C31" s="225" t="str">
        <f>Custos!G29</f>
        <v>mar/2026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155.6</v>
      </c>
      <c r="G31" s="376" t="str">
        <f>Custos!H29</f>
        <v>m</v>
      </c>
      <c r="H31" s="263">
        <v>0</v>
      </c>
      <c r="I31" s="216">
        <f t="shared" si="3"/>
        <v>0</v>
      </c>
      <c r="J31" s="216">
        <f>ROUND(I31*K!$F$20,2)</f>
        <v>0</v>
      </c>
      <c r="K31" s="228">
        <f>ROUND(J31/$J$45,4)</f>
        <v>0</v>
      </c>
    </row>
    <row r="32" spans="1:11" ht="6" customHeight="1">
      <c r="A32" s="152"/>
      <c r="B32" s="152"/>
      <c r="C32" s="152"/>
      <c r="D32" s="152"/>
      <c r="E32" s="153"/>
      <c r="F32" s="154"/>
      <c r="G32" s="177"/>
      <c r="H32" s="223"/>
      <c r="I32" s="155"/>
      <c r="J32" s="155"/>
      <c r="K32" s="184"/>
    </row>
    <row r="33" spans="1:11" s="118" customFormat="1" ht="18" customHeight="1">
      <c r="A33" s="148" t="s">
        <v>70</v>
      </c>
      <c r="B33" s="163" t="s">
        <v>384</v>
      </c>
      <c r="C33" s="163"/>
      <c r="D33" s="163"/>
      <c r="E33" s="163"/>
      <c r="F33" s="150"/>
      <c r="G33" s="148"/>
      <c r="H33" s="149"/>
      <c r="I33" s="149"/>
      <c r="J33" s="164">
        <f>SUM(J34:J35)</f>
        <v>0</v>
      </c>
      <c r="K33" s="364">
        <f>SUM(K34:K35)</f>
        <v>0</v>
      </c>
    </row>
    <row r="34" spans="1:11" s="119" customFormat="1">
      <c r="A34" s="220" t="s">
        <v>351</v>
      </c>
      <c r="B34" s="220">
        <f>'P1'!B34</f>
        <v>65001667</v>
      </c>
      <c r="C34" s="220" t="str">
        <f>Custos!G37</f>
        <v>mar/2026</v>
      </c>
      <c r="D34" s="225" t="str">
        <f>Custos!D37</f>
        <v>COPASA</v>
      </c>
      <c r="E34" s="375" t="str">
        <f>Custos!B37</f>
        <v>Equipe de topografia de campo</v>
      </c>
      <c r="F34" s="222">
        <f>Custos!J37</f>
        <v>58490.33</v>
      </c>
      <c r="G34" s="263" t="str">
        <f>Custos!H37</f>
        <v>mês</v>
      </c>
      <c r="H34" s="471">
        <v>0</v>
      </c>
      <c r="I34" s="216">
        <f t="shared" ref="I34:I35" si="4">ROUND(H34*F34,2)</f>
        <v>0</v>
      </c>
      <c r="J34" s="216">
        <f>ROUND(I34*K!$F$20,2)</f>
        <v>0</v>
      </c>
      <c r="K34" s="228">
        <f t="shared" ref="K34:K35" si="5">ROUND(J34/$J$45,4)</f>
        <v>0</v>
      </c>
    </row>
    <row r="35" spans="1:11" s="119" customFormat="1">
      <c r="A35" s="220" t="s">
        <v>358</v>
      </c>
      <c r="B35" s="220">
        <f>'P1'!B35</f>
        <v>65001668</v>
      </c>
      <c r="C35" s="220" t="str">
        <f>Custos!G38</f>
        <v>mar/2026</v>
      </c>
      <c r="D35" s="225" t="str">
        <f>Custos!D38</f>
        <v>COPASA</v>
      </c>
      <c r="E35" s="375" t="str">
        <f>Custos!B38</f>
        <v>Equipe de topografia de escritório</v>
      </c>
      <c r="F35" s="222">
        <f>Custos!J38</f>
        <v>31279.74</v>
      </c>
      <c r="G35" s="263" t="str">
        <f>Custos!H38</f>
        <v>mês</v>
      </c>
      <c r="H35" s="471">
        <v>0</v>
      </c>
      <c r="I35" s="216">
        <f t="shared" si="4"/>
        <v>0</v>
      </c>
      <c r="J35" s="216">
        <f>ROUND(I35*K!$F$20,2)</f>
        <v>0</v>
      </c>
      <c r="K35" s="228">
        <f t="shared" si="5"/>
        <v>0</v>
      </c>
    </row>
    <row r="36" spans="1:11" ht="5.0999999999999996" customHeight="1">
      <c r="A36" s="220"/>
      <c r="B36" s="225"/>
      <c r="C36" s="225"/>
      <c r="D36" s="220"/>
      <c r="E36" s="165"/>
      <c r="F36" s="157"/>
      <c r="G36" s="214"/>
      <c r="H36" s="223"/>
      <c r="I36" s="151"/>
      <c r="J36" s="151"/>
      <c r="K36" s="183"/>
    </row>
    <row r="37" spans="1:11" s="118" customFormat="1" ht="18" customHeight="1">
      <c r="A37" s="148" t="s">
        <v>71</v>
      </c>
      <c r="B37" s="149" t="s">
        <v>386</v>
      </c>
      <c r="C37" s="163"/>
      <c r="D37" s="163"/>
      <c r="E37" s="163"/>
      <c r="F37" s="150"/>
      <c r="G37" s="148"/>
      <c r="H37" s="149"/>
      <c r="I37" s="149"/>
      <c r="J37" s="164">
        <f>SUM(J38:J39)</f>
        <v>0</v>
      </c>
      <c r="K37" s="364">
        <f>SUM(K38:K39)</f>
        <v>0</v>
      </c>
    </row>
    <row r="38" spans="1:11" s="119" customFormat="1">
      <c r="A38" s="225" t="s">
        <v>351</v>
      </c>
      <c r="B38" s="406">
        <f>Custos!E43</f>
        <v>65001114</v>
      </c>
      <c r="C38" s="225" t="str">
        <f>Custos!G43</f>
        <v>mar/2026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453.96</v>
      </c>
      <c r="G38" s="225" t="str">
        <f>Custos!H43</f>
        <v>unidade</v>
      </c>
      <c r="H38" s="263">
        <f>Serviços!I17</f>
        <v>0</v>
      </c>
      <c r="I38" s="216">
        <f t="shared" ref="I38:I39" si="6">ROUND(H38*F38,2)</f>
        <v>0</v>
      </c>
      <c r="J38" s="216">
        <f>ROUND(I38*K!$F$20,2)</f>
        <v>0</v>
      </c>
      <c r="K38" s="228">
        <f t="shared" ref="K38:K39" si="7">ROUND(J38/$J$45,4)</f>
        <v>0</v>
      </c>
    </row>
    <row r="39" spans="1:11" s="119" customFormat="1">
      <c r="A39" s="225" t="s">
        <v>358</v>
      </c>
      <c r="B39" s="406">
        <f>Custos!E44</f>
        <v>65001115</v>
      </c>
      <c r="C39" s="225" t="str">
        <f>Custos!G44</f>
        <v>mar/2026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179.28</v>
      </c>
      <c r="G39" s="225" t="str">
        <f>Custos!H44</f>
        <v>unidade</v>
      </c>
      <c r="H39" s="263">
        <f>Serviços!I18</f>
        <v>0</v>
      </c>
      <c r="I39" s="216">
        <f t="shared" si="6"/>
        <v>0</v>
      </c>
      <c r="J39" s="216">
        <f>ROUND(I39*K!$F$20,2)</f>
        <v>0</v>
      </c>
      <c r="K39" s="228">
        <f t="shared" si="7"/>
        <v>0</v>
      </c>
    </row>
    <row r="40" spans="1:11" s="118" customFormat="1" ht="18" customHeight="1">
      <c r="A40" s="354" t="s">
        <v>681</v>
      </c>
      <c r="B40" s="355" t="s">
        <v>682</v>
      </c>
      <c r="C40" s="355"/>
      <c r="D40" s="355"/>
      <c r="E40" s="174"/>
      <c r="F40" s="175"/>
      <c r="G40" s="173"/>
      <c r="H40" s="174"/>
      <c r="I40" s="174"/>
      <c r="J40" s="360">
        <f>J42</f>
        <v>0</v>
      </c>
      <c r="K40" s="349">
        <f>J40/$J$45</f>
        <v>0</v>
      </c>
    </row>
    <row r="41" spans="1:11" ht="5.0999999999999996" customHeight="1">
      <c r="A41" s="356"/>
      <c r="B41" s="160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385</v>
      </c>
      <c r="C42" s="149"/>
      <c r="D42" s="149"/>
      <c r="E42" s="149"/>
      <c r="F42" s="150"/>
      <c r="G42" s="148"/>
      <c r="H42" s="149"/>
      <c r="I42" s="149"/>
      <c r="J42" s="169">
        <f>SUM(J43:J43)</f>
        <v>0</v>
      </c>
      <c r="K42" s="363">
        <f>SUM(K43:K43)</f>
        <v>0</v>
      </c>
    </row>
    <row r="43" spans="1:11" s="119" customFormat="1" ht="96.6">
      <c r="A43" s="220" t="s">
        <v>351</v>
      </c>
      <c r="B43" s="225" t="str">
        <f>Custos!F46</f>
        <v>-</v>
      </c>
      <c r="C43" s="225" t="str">
        <f>Custos!G46</f>
        <v>jan/2026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Custos!J46</f>
        <v>1.02</v>
      </c>
      <c r="G43" s="263" t="str">
        <f>'P1'!G43</f>
        <v>R$/dia</v>
      </c>
      <c r="H43" s="263">
        <v>0</v>
      </c>
      <c r="I43" s="216">
        <f>ROUND(H43*F43,2)</f>
        <v>0</v>
      </c>
      <c r="J43" s="216">
        <f>ROUND(I43*K!$F$20,2)</f>
        <v>0</v>
      </c>
      <c r="K43" s="228">
        <f>ROUND(J43/$J$45,4)</f>
        <v>0</v>
      </c>
    </row>
    <row r="44" spans="1:11" ht="6" customHeight="1">
      <c r="A44" s="143"/>
      <c r="B44" s="152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80" t="s">
        <v>684</v>
      </c>
      <c r="B45" s="780"/>
      <c r="C45" s="780"/>
      <c r="D45" s="780"/>
      <c r="E45" s="780"/>
      <c r="F45" s="357"/>
      <c r="G45" s="358"/>
      <c r="H45" s="359"/>
      <c r="I45" s="357" t="s">
        <v>685</v>
      </c>
      <c r="J45" s="357">
        <f>ROUND((J7+J14+J21+J40),2)</f>
        <v>28319.33</v>
      </c>
      <c r="K45" s="362">
        <f>K7+K14+K21+K40</f>
        <v>1</v>
      </c>
    </row>
    <row r="46" spans="1:11" ht="6" customHeight="1">
      <c r="A46" s="589"/>
      <c r="B46" s="59"/>
      <c r="C46" s="59"/>
      <c r="D46" s="590"/>
      <c r="E46" s="591"/>
      <c r="F46" s="592"/>
      <c r="G46" s="590"/>
      <c r="H46" s="593"/>
      <c r="I46" s="594"/>
      <c r="J46" s="67"/>
      <c r="K46" s="595"/>
    </row>
    <row r="47" spans="1:11" ht="20.100000000000001" customHeight="1">
      <c r="A47" s="596" t="s">
        <v>297</v>
      </c>
      <c r="B47" s="597"/>
      <c r="C47" s="597"/>
      <c r="D47" s="597"/>
      <c r="E47" s="597"/>
      <c r="F47" s="598"/>
      <c r="G47" s="599"/>
      <c r="H47" s="597"/>
      <c r="I47" s="597"/>
      <c r="J47" s="597"/>
      <c r="K47" s="598"/>
    </row>
    <row r="48" spans="1:11" ht="14.45" customHeight="1">
      <c r="A48" s="600" t="s">
        <v>686</v>
      </c>
      <c r="B48" s="784" t="s">
        <v>687</v>
      </c>
      <c r="C48" s="784"/>
      <c r="D48" s="784"/>
      <c r="E48" s="784"/>
      <c r="F48" s="784"/>
      <c r="G48" s="784"/>
      <c r="H48" s="784"/>
      <c r="I48" s="784"/>
      <c r="J48" s="784"/>
      <c r="K48" s="784"/>
    </row>
    <row r="49" spans="1:11" ht="13.15" customHeight="1">
      <c r="A49" s="600" t="s">
        <v>688</v>
      </c>
      <c r="B49" s="785" t="s">
        <v>689</v>
      </c>
      <c r="C49" s="785"/>
      <c r="D49" s="785"/>
      <c r="E49" s="785"/>
      <c r="F49" s="785"/>
      <c r="G49" s="785"/>
      <c r="H49" s="785"/>
      <c r="I49" s="785"/>
      <c r="J49" s="785"/>
      <c r="K49" s="785"/>
    </row>
    <row r="50" spans="1:11" ht="13.15" customHeight="1">
      <c r="A50" s="600"/>
      <c r="B50" s="601"/>
      <c r="C50" s="601"/>
      <c r="D50" s="601"/>
      <c r="E50" s="601"/>
      <c r="F50" s="601"/>
      <c r="G50" s="601"/>
      <c r="H50" s="601"/>
      <c r="I50" s="601"/>
      <c r="J50" s="601"/>
      <c r="K50" s="601"/>
    </row>
  </sheetData>
  <mergeCells count="5">
    <mergeCell ref="D1:K1"/>
    <mergeCell ref="F6:G6"/>
    <mergeCell ref="A45:E45"/>
    <mergeCell ref="B48:K48"/>
    <mergeCell ref="B49:K49"/>
  </mergeCells>
  <pageMargins left="0.511811024" right="0.511811024" top="0.78740157499999996" bottom="0.78740157499999996" header="0.31496062000000002" footer="0.31496062000000002"/>
  <pageSetup paperSize="9" scale="61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8" tint="-0.249977111117893"/>
    <pageSetUpPr fitToPage="1"/>
  </sheetPr>
  <dimension ref="A1:M50"/>
  <sheetViews>
    <sheetView showGridLines="0" view="pageBreakPreview" topLeftCell="A30" zoomScaleNormal="100" zoomScaleSheetLayoutView="100" workbookViewId="0">
      <selection activeCell="P46" sqref="P46"/>
    </sheetView>
  </sheetViews>
  <sheetFormatPr defaultColWidth="9.140625" defaultRowHeight="15.6"/>
  <cols>
    <col min="1" max="1" width="5" style="79" customWidth="1"/>
    <col min="2" max="3" width="10" style="79" customWidth="1"/>
    <col min="4" max="4" width="13.85546875" style="79" customWidth="1"/>
    <col min="5" max="5" width="45.7109375" style="79" customWidth="1"/>
    <col min="6" max="6" width="9.85546875" style="127" customWidth="1"/>
    <col min="7" max="7" width="8.28515625" style="130" bestFit="1" customWidth="1"/>
    <col min="8" max="8" width="12.140625" style="79" customWidth="1"/>
    <col min="9" max="9" width="10.570312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3" ht="35.25" customHeight="1">
      <c r="B1" s="126"/>
      <c r="C1" s="126"/>
      <c r="D1" s="778" t="str">
        <f>P7b!D1</f>
        <v xml:space="preserve">ORÇAMENTO PARA ELABORAÇÃO DE PROJETO DE SISTEMA DE ESGOTAMENTO SANITÁRIO </v>
      </c>
      <c r="E1" s="778"/>
      <c r="F1" s="778"/>
      <c r="G1" s="778"/>
      <c r="H1" s="778"/>
      <c r="I1" s="778"/>
      <c r="J1" s="778"/>
      <c r="K1" s="778"/>
    </row>
    <row r="2" spans="1:13" s="118" customFormat="1" ht="15" customHeight="1">
      <c r="A2" s="78" t="s">
        <v>700</v>
      </c>
      <c r="C2" s="81" t="str">
        <f>'Horas trabalhadas'!K8</f>
        <v>Projeto Executivo</v>
      </c>
      <c r="F2" s="128"/>
      <c r="G2" s="176"/>
      <c r="J2" s="115" t="s">
        <v>143</v>
      </c>
      <c r="K2" s="63">
        <f ca="1">'Dados Básicos do município'!H4</f>
        <v>46170</v>
      </c>
    </row>
    <row r="3" spans="1:13" s="118" customFormat="1" ht="15" customHeight="1">
      <c r="A3" s="78" t="s">
        <v>144</v>
      </c>
      <c r="C3" s="81" t="str">
        <f>'Dados Básicos do município'!B5</f>
        <v>CBH-PIRANGA</v>
      </c>
      <c r="F3" s="128"/>
      <c r="G3" s="176"/>
      <c r="K3" s="128"/>
    </row>
    <row r="4" spans="1:13" s="118" customFormat="1" ht="15" customHeight="1">
      <c r="A4" s="78" t="s">
        <v>145</v>
      </c>
      <c r="C4" s="81" t="str">
        <f>'Dados Básicos do município'!B6</f>
        <v>São Miguel do Anta/MG</v>
      </c>
      <c r="F4" s="128"/>
      <c r="G4" s="176"/>
      <c r="J4" s="116"/>
      <c r="K4" s="115"/>
    </row>
    <row r="5" spans="1:13" ht="6" customHeight="1">
      <c r="A5" s="152"/>
      <c r="B5" s="152"/>
      <c r="C5" s="152"/>
      <c r="D5" s="152"/>
      <c r="E5" s="153"/>
      <c r="F5" s="154"/>
      <c r="G5" s="177"/>
      <c r="H5" s="156"/>
      <c r="I5" s="155"/>
      <c r="J5" s="155"/>
      <c r="K5" s="184"/>
    </row>
    <row r="6" spans="1:13" s="130" customFormat="1" ht="47.45" customHeight="1">
      <c r="A6" s="341" t="s">
        <v>670</v>
      </c>
      <c r="B6" s="341" t="s">
        <v>19</v>
      </c>
      <c r="C6" s="341" t="s">
        <v>671</v>
      </c>
      <c r="D6" s="341" t="s">
        <v>672</v>
      </c>
      <c r="E6" s="342" t="s">
        <v>673</v>
      </c>
      <c r="F6" s="779" t="s">
        <v>674</v>
      </c>
      <c r="G6" s="779"/>
      <c r="H6" s="343" t="s">
        <v>675</v>
      </c>
      <c r="I6" s="344" t="s">
        <v>676</v>
      </c>
      <c r="J6" s="344" t="s">
        <v>677</v>
      </c>
      <c r="K6" s="344" t="s">
        <v>678</v>
      </c>
    </row>
    <row r="7" spans="1:13" s="118" customFormat="1" ht="18" customHeight="1">
      <c r="A7" s="345">
        <v>1</v>
      </c>
      <c r="B7" s="346" t="s">
        <v>679</v>
      </c>
      <c r="C7" s="346"/>
      <c r="D7" s="346"/>
      <c r="E7" s="346"/>
      <c r="F7" s="347"/>
      <c r="G7" s="345"/>
      <c r="H7" s="346"/>
      <c r="I7" s="346"/>
      <c r="J7" s="348">
        <f>J9</f>
        <v>32808.019999999997</v>
      </c>
      <c r="K7" s="349">
        <f>J7/$J$45</f>
        <v>0.36854993080144505</v>
      </c>
    </row>
    <row r="8" spans="1:13" ht="6" customHeight="1">
      <c r="A8" s="152"/>
      <c r="B8" s="152"/>
      <c r="C8" s="152"/>
      <c r="D8" s="152"/>
      <c r="E8" s="153"/>
      <c r="F8" s="154"/>
      <c r="G8" s="177"/>
      <c r="H8" s="156"/>
      <c r="I8" s="155"/>
      <c r="J8" s="155"/>
      <c r="K8" s="184"/>
    </row>
    <row r="9" spans="1:13" s="118" customFormat="1" ht="18" customHeight="1">
      <c r="A9" s="170" t="s">
        <v>38</v>
      </c>
      <c r="B9" s="171" t="s">
        <v>349</v>
      </c>
      <c r="C9" s="171"/>
      <c r="D9" s="171"/>
      <c r="E9" s="171"/>
      <c r="F9" s="172"/>
      <c r="G9" s="170"/>
      <c r="H9" s="171"/>
      <c r="I9" s="171"/>
      <c r="J9" s="361">
        <f>SUM(J10:J12)</f>
        <v>32808.019999999997</v>
      </c>
      <c r="K9" s="365">
        <f>SUM(K10:K12)</f>
        <v>0.36860000000000004</v>
      </c>
    </row>
    <row r="10" spans="1:13" s="119" customFormat="1" ht="16.149999999999999" customHeight="1">
      <c r="A10" s="220" t="s">
        <v>351</v>
      </c>
      <c r="B10" s="213" t="str">
        <f>'P1'!B10</f>
        <v>P8061</v>
      </c>
      <c r="C10" s="213" t="str">
        <f>Custos!G13</f>
        <v>jan/2026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131.97</v>
      </c>
      <c r="G10" s="214" t="s">
        <v>356</v>
      </c>
      <c r="H10" s="382">
        <f>'Horas trabalhadas'!K9</f>
        <v>38.76</v>
      </c>
      <c r="I10" s="216">
        <f>ROUND(H10*F10,2)</f>
        <v>5115.16</v>
      </c>
      <c r="J10" s="216">
        <f>ROUND(I10*K!$F$19,2)</f>
        <v>12890.2</v>
      </c>
      <c r="K10" s="228">
        <f>ROUND(J10/$J$45,4)</f>
        <v>0.14480000000000001</v>
      </c>
      <c r="M10" s="120"/>
    </row>
    <row r="11" spans="1:13" s="119" customFormat="1" ht="16.149999999999999" customHeight="1">
      <c r="A11" s="220" t="s">
        <v>358</v>
      </c>
      <c r="B11" s="213" t="str">
        <f>'P1'!B11</f>
        <v>P8066</v>
      </c>
      <c r="C11" s="217" t="str">
        <f>Custos!G14</f>
        <v>jan/2026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99.01</v>
      </c>
      <c r="G11" s="218" t="s">
        <v>356</v>
      </c>
      <c r="H11" s="382">
        <f>'Horas trabalhadas'!K10</f>
        <v>53.29</v>
      </c>
      <c r="I11" s="216">
        <f t="shared" ref="I11:I12" si="0">ROUND(H11*F11,2)</f>
        <v>5276.24</v>
      </c>
      <c r="J11" s="216">
        <f>ROUND(I11*K!$F$19,2)</f>
        <v>13296.12</v>
      </c>
      <c r="K11" s="228">
        <f>ROUND(J11/$J$45,4)</f>
        <v>0.14940000000000001</v>
      </c>
      <c r="M11" s="120"/>
    </row>
    <row r="12" spans="1:13" s="119" customFormat="1" ht="16.149999999999999" customHeight="1">
      <c r="A12" s="220" t="s">
        <v>361</v>
      </c>
      <c r="B12" s="213" t="str">
        <f>'P1'!B12</f>
        <v>P8026</v>
      </c>
      <c r="C12" s="217" t="str">
        <f>Custos!G15</f>
        <v>jan/2026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13.56</v>
      </c>
      <c r="G12" s="218" t="s">
        <v>356</v>
      </c>
      <c r="H12" s="382">
        <f>'Horas trabalhadas'!K11</f>
        <v>193.78</v>
      </c>
      <c r="I12" s="216">
        <f t="shared" si="0"/>
        <v>2627.66</v>
      </c>
      <c r="J12" s="216">
        <f>ROUND(I12*K!$F$19,2)</f>
        <v>6621.7</v>
      </c>
      <c r="K12" s="228">
        <f>ROUND(J12/$J$45,4)</f>
        <v>7.4399999999999994E-2</v>
      </c>
      <c r="M12" s="120"/>
    </row>
    <row r="13" spans="1:13" ht="6" customHeight="1">
      <c r="A13" s="152"/>
      <c r="B13" s="152"/>
      <c r="C13" s="152"/>
      <c r="D13" s="152"/>
      <c r="E13" s="153"/>
      <c r="F13" s="154"/>
      <c r="G13" s="177"/>
      <c r="H13" s="156"/>
      <c r="I13" s="155"/>
      <c r="J13" s="155"/>
      <c r="K13" s="184"/>
    </row>
    <row r="14" spans="1:13" s="118" customFormat="1" ht="18" customHeight="1">
      <c r="A14" s="345">
        <v>2</v>
      </c>
      <c r="B14" s="346" t="s">
        <v>365</v>
      </c>
      <c r="C14" s="346"/>
      <c r="D14" s="346"/>
      <c r="E14" s="346"/>
      <c r="F14" s="347"/>
      <c r="G14" s="345"/>
      <c r="H14" s="346"/>
      <c r="I14" s="346"/>
      <c r="J14" s="348">
        <f>J16</f>
        <v>56211.18</v>
      </c>
      <c r="K14" s="349">
        <f>J14/$J$45</f>
        <v>0.63145006919855495</v>
      </c>
    </row>
    <row r="15" spans="1:13" ht="5.0999999999999996" customHeight="1">
      <c r="A15" s="159"/>
      <c r="B15" s="160"/>
      <c r="C15" s="160"/>
      <c r="D15" s="161"/>
      <c r="E15" s="162"/>
      <c r="F15" s="157"/>
      <c r="G15" s="151"/>
      <c r="H15" s="158"/>
      <c r="I15" s="151"/>
      <c r="J15" s="151"/>
      <c r="K15" s="183"/>
    </row>
    <row r="16" spans="1:13" s="118" customFormat="1" ht="18" customHeight="1">
      <c r="A16" s="350" t="s">
        <v>56</v>
      </c>
      <c r="B16" s="351" t="s">
        <v>365</v>
      </c>
      <c r="C16" s="351"/>
      <c r="D16" s="351"/>
      <c r="E16" s="351"/>
      <c r="F16" s="352"/>
      <c r="G16" s="350"/>
      <c r="H16" s="351"/>
      <c r="I16" s="352"/>
      <c r="J16" s="353">
        <f>SUM(J17:J19)</f>
        <v>56211.18</v>
      </c>
      <c r="K16" s="366">
        <f>SUM(K17:K19)</f>
        <v>0.63139999999999996</v>
      </c>
    </row>
    <row r="17" spans="1:11" s="119" customFormat="1" ht="16.149999999999999" customHeight="1">
      <c r="A17" s="220" t="s">
        <v>351</v>
      </c>
      <c r="B17" s="213" t="str">
        <f>'P1'!B17</f>
        <v>P8067</v>
      </c>
      <c r="C17" s="213" t="str">
        <f>Custos!G20</f>
        <v>jan/2026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115.11</v>
      </c>
      <c r="G17" s="214" t="s">
        <v>356</v>
      </c>
      <c r="H17" s="382">
        <f>'Horas trabalhadas'!K12</f>
        <v>96.89</v>
      </c>
      <c r="I17" s="216">
        <f t="shared" ref="I17:I19" si="1">ROUND(H17*F17,2)</f>
        <v>11153.01</v>
      </c>
      <c r="J17" s="216">
        <f>ROUND(I17*K!$F$19,2)</f>
        <v>28105.59</v>
      </c>
      <c r="K17" s="227">
        <f>ROUND(J17/$J$45,4)</f>
        <v>0.31569999999999998</v>
      </c>
    </row>
    <row r="18" spans="1:11" s="119" customFormat="1" ht="16.149999999999999" customHeight="1">
      <c r="A18" s="220" t="s">
        <v>358</v>
      </c>
      <c r="B18" s="213" t="str">
        <f>'P1'!B18</f>
        <v>P8067</v>
      </c>
      <c r="C18" s="213" t="str">
        <f>Custos!G21</f>
        <v>jan/2026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115.11</v>
      </c>
      <c r="G18" s="214" t="s">
        <v>356</v>
      </c>
      <c r="H18" s="382">
        <f>'Horas trabalhadas'!K13</f>
        <v>96.89</v>
      </c>
      <c r="I18" s="216">
        <f t="shared" si="1"/>
        <v>11153.01</v>
      </c>
      <c r="J18" s="216">
        <f>ROUND(I18*K!$F$19,2)</f>
        <v>28105.59</v>
      </c>
      <c r="K18" s="227">
        <f>ROUND(J18/$J$45,4)</f>
        <v>0.31569999999999998</v>
      </c>
    </row>
    <row r="19" spans="1:11" s="119" customFormat="1" ht="16.149999999999999" customHeight="1">
      <c r="A19" s="220" t="s">
        <v>361</v>
      </c>
      <c r="B19" s="213" t="str">
        <f>'P1'!B19</f>
        <v>P8059</v>
      </c>
      <c r="C19" s="213" t="str">
        <f>Custos!G22</f>
        <v>jan/2026</v>
      </c>
      <c r="D19" s="218" t="str">
        <f>Custos!D22</f>
        <v>DNIT</v>
      </c>
      <c r="E19" s="215" t="str">
        <f>Custos!B22</f>
        <v>Engenheiro ambiental</v>
      </c>
      <c r="F19" s="216">
        <f>Custos!J22</f>
        <v>120.83</v>
      </c>
      <c r="G19" s="214" t="s">
        <v>356</v>
      </c>
      <c r="H19" s="382">
        <f>'Horas trabalhadas'!K14</f>
        <v>0</v>
      </c>
      <c r="I19" s="216">
        <f t="shared" si="1"/>
        <v>0</v>
      </c>
      <c r="J19" s="216">
        <f>ROUND(I19*K!$F$19,2)</f>
        <v>0</v>
      </c>
      <c r="K19" s="227">
        <f>ROUND(J19/$J$45,4)</f>
        <v>0</v>
      </c>
    </row>
    <row r="20" spans="1:11" ht="6" customHeight="1">
      <c r="A20" s="152"/>
      <c r="B20" s="152"/>
      <c r="C20" s="152"/>
      <c r="D20" s="152"/>
      <c r="E20" s="153"/>
      <c r="F20" s="154"/>
      <c r="G20" s="177"/>
      <c r="H20" s="156"/>
      <c r="I20" s="155"/>
      <c r="J20" s="155"/>
      <c r="K20" s="184"/>
    </row>
    <row r="21" spans="1:11" s="118" customFormat="1" ht="18" customHeight="1">
      <c r="A21" s="354">
        <v>3</v>
      </c>
      <c r="B21" s="355" t="s">
        <v>138</v>
      </c>
      <c r="C21" s="355"/>
      <c r="D21" s="355"/>
      <c r="E21" s="174"/>
      <c r="F21" s="175"/>
      <c r="G21" s="173"/>
      <c r="H21" s="174"/>
      <c r="I21" s="174"/>
      <c r="J21" s="360">
        <f>J23+J28+J33+J37</f>
        <v>0</v>
      </c>
      <c r="K21" s="349">
        <f>J21/$J$45</f>
        <v>0</v>
      </c>
    </row>
    <row r="22" spans="1:11" ht="5.0999999999999996" customHeight="1">
      <c r="A22" s="159"/>
      <c r="B22" s="160"/>
      <c r="C22" s="160"/>
      <c r="D22" s="161"/>
      <c r="E22" s="162"/>
      <c r="F22" s="157"/>
      <c r="G22" s="151"/>
      <c r="H22" s="158"/>
      <c r="I22" s="151"/>
      <c r="J22" s="151"/>
      <c r="K22" s="183"/>
    </row>
    <row r="23" spans="1:11" s="118" customFormat="1" ht="18" customHeight="1">
      <c r="A23" s="170" t="s">
        <v>68</v>
      </c>
      <c r="B23" s="171" t="s">
        <v>379</v>
      </c>
      <c r="C23" s="171"/>
      <c r="D23" s="171"/>
      <c r="E23" s="171"/>
      <c r="F23" s="172"/>
      <c r="G23" s="170"/>
      <c r="H23" s="171"/>
      <c r="I23" s="171"/>
      <c r="J23" s="361">
        <f>SUM(J24:J26)</f>
        <v>0</v>
      </c>
      <c r="K23" s="365">
        <f>SUM(K24:K26)</f>
        <v>0</v>
      </c>
    </row>
    <row r="24" spans="1:11" s="119" customFormat="1">
      <c r="A24" s="220" t="s">
        <v>351</v>
      </c>
      <c r="B24" s="220">
        <f>'P1'!B24</f>
        <v>65003710</v>
      </c>
      <c r="C24" s="220" t="str">
        <f>Custos!G32</f>
        <v>mar/2026</v>
      </c>
      <c r="D24" s="225" t="str">
        <f>Custos!D32</f>
        <v>COPASA</v>
      </c>
      <c r="E24" s="375" t="str">
        <f>Custos!B32</f>
        <v>Mobilização e desmobilização de equipe de topografia</v>
      </c>
      <c r="F24" s="222">
        <f>Custos!J32</f>
        <v>5.32</v>
      </c>
      <c r="G24" s="263" t="str">
        <f>Custos!H32</f>
        <v>km</v>
      </c>
      <c r="H24" s="263">
        <v>0</v>
      </c>
      <c r="I24" s="216">
        <f t="shared" ref="I24:I26" si="2">ROUND(H24*F24,2)</f>
        <v>0</v>
      </c>
      <c r="J24" s="216">
        <f>ROUND(I24*K!$F$20,2)</f>
        <v>0</v>
      </c>
      <c r="K24" s="228">
        <f>ROUND(J24/$J$45,4)</f>
        <v>0</v>
      </c>
    </row>
    <row r="25" spans="1:11" s="119" customFormat="1">
      <c r="A25" s="220" t="s">
        <v>358</v>
      </c>
      <c r="B25" s="220">
        <f>'P1'!B25</f>
        <v>65001667</v>
      </c>
      <c r="C25" s="220" t="str">
        <f>Custos!G33</f>
        <v>mar/2026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58490.33</v>
      </c>
      <c r="G25" s="263" t="str">
        <f>Custos!H33</f>
        <v>mês</v>
      </c>
      <c r="H25" s="263">
        <v>0</v>
      </c>
      <c r="I25" s="216">
        <f t="shared" si="2"/>
        <v>0</v>
      </c>
      <c r="J25" s="216">
        <f>ROUND(I25*K!$F$20,2)</f>
        <v>0</v>
      </c>
      <c r="K25" s="228">
        <f>ROUND(J25/$J$45,4)</f>
        <v>0</v>
      </c>
    </row>
    <row r="26" spans="1:11" s="119" customFormat="1">
      <c r="A26" s="220" t="s">
        <v>361</v>
      </c>
      <c r="B26" s="220">
        <f>'P1'!B26</f>
        <v>65001668</v>
      </c>
      <c r="C26" s="220" t="str">
        <f>Custos!G34</f>
        <v>mar/2026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31279.74</v>
      </c>
      <c r="G26" s="263" t="str">
        <f>Custos!H34</f>
        <v>mês</v>
      </c>
      <c r="H26" s="263">
        <v>0</v>
      </c>
      <c r="I26" s="216">
        <f t="shared" si="2"/>
        <v>0</v>
      </c>
      <c r="J26" s="216">
        <f>ROUND(I26*K!$F$20,2)</f>
        <v>0</v>
      </c>
      <c r="K26" s="228">
        <f>ROUND(J26/$J$45,4)</f>
        <v>0</v>
      </c>
    </row>
    <row r="27" spans="1:11" ht="10.5" customHeight="1">
      <c r="A27" s="159"/>
      <c r="B27" s="160"/>
      <c r="C27" s="160"/>
      <c r="D27" s="161"/>
      <c r="E27" s="162"/>
      <c r="F27" s="157"/>
      <c r="G27" s="263"/>
      <c r="H27" s="158"/>
      <c r="I27" s="151"/>
      <c r="J27" s="151"/>
      <c r="K27" s="183"/>
    </row>
    <row r="28" spans="1:11" s="118" customFormat="1" ht="18" customHeight="1">
      <c r="A28" s="148" t="s">
        <v>69</v>
      </c>
      <c r="B28" s="163" t="s">
        <v>649</v>
      </c>
      <c r="C28" s="163"/>
      <c r="D28" s="163"/>
      <c r="E28" s="163"/>
      <c r="F28" s="150"/>
      <c r="G28" s="148"/>
      <c r="H28" s="149"/>
      <c r="I28" s="149"/>
      <c r="J28" s="164">
        <f>SUM(J30:J30)</f>
        <v>0</v>
      </c>
      <c r="K28" s="364">
        <f>SUM(K30:K30)</f>
        <v>0</v>
      </c>
    </row>
    <row r="29" spans="1:11" s="119" customFormat="1">
      <c r="A29" s="220" t="s">
        <v>351</v>
      </c>
      <c r="B29" s="220">
        <f>'P1'!B29</f>
        <v>65001207</v>
      </c>
      <c r="C29" s="220" t="str">
        <f>Custos!G27</f>
        <v>mar/2026</v>
      </c>
      <c r="D29" s="225" t="str">
        <f>Custos!D27</f>
        <v>COPASA</v>
      </c>
      <c r="E29" s="375" t="str">
        <f>Custos!B27</f>
        <v>Sondagem a percussao - mobilizacao e desmobilizacao</v>
      </c>
      <c r="F29" s="222">
        <f>Custos!J27</f>
        <v>1417.53</v>
      </c>
      <c r="G29" s="263" t="str">
        <f>Custos!H27</f>
        <v>unidade</v>
      </c>
      <c r="H29" s="263">
        <v>0</v>
      </c>
      <c r="I29" s="216">
        <f t="shared" ref="I29:I31" si="3">ROUND(H29*F29,2)</f>
        <v>0</v>
      </c>
      <c r="J29" s="216">
        <f>ROUND(I29*K!$F$20,2)</f>
        <v>0</v>
      </c>
      <c r="K29" s="228">
        <f>ROUND(J29/$J$45,4)</f>
        <v>0</v>
      </c>
    </row>
    <row r="30" spans="1:11" s="119" customFormat="1">
      <c r="A30" s="220" t="s">
        <v>358</v>
      </c>
      <c r="B30" s="220">
        <f>'P1'!B30</f>
        <v>65001209</v>
      </c>
      <c r="C30" s="220" t="str">
        <f>Custos!G28</f>
        <v>mar/2026</v>
      </c>
      <c r="D30" s="225" t="str">
        <f>Custos!D28</f>
        <v>COPASA</v>
      </c>
      <c r="E30" s="375" t="str">
        <f>Custos!B28</f>
        <v>Sondagem a percussao - instalacao por furo</v>
      </c>
      <c r="F30" s="222">
        <f>Custos!J28</f>
        <v>506.64</v>
      </c>
      <c r="G30" s="263" t="str">
        <f>Custos!H28</f>
        <v>unidade</v>
      </c>
      <c r="H30" s="263">
        <v>0</v>
      </c>
      <c r="I30" s="216">
        <f t="shared" si="3"/>
        <v>0</v>
      </c>
      <c r="J30" s="216">
        <f>ROUND(I30*K!$F$20,2)</f>
        <v>0</v>
      </c>
      <c r="K30" s="228">
        <f>ROUND(J30/$J$45,4)</f>
        <v>0</v>
      </c>
    </row>
    <row r="31" spans="1:11" s="119" customFormat="1" ht="26.45" customHeight="1">
      <c r="A31" s="220" t="s">
        <v>361</v>
      </c>
      <c r="B31" s="220">
        <f>'P1'!B31</f>
        <v>65001210</v>
      </c>
      <c r="C31" s="225" t="str">
        <f>Custos!G29</f>
        <v>mar/2026</v>
      </c>
      <c r="D31" s="263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155.6</v>
      </c>
      <c r="G31" s="376" t="str">
        <f>Custos!H29</f>
        <v>m</v>
      </c>
      <c r="H31" s="263">
        <v>0</v>
      </c>
      <c r="I31" s="216">
        <f t="shared" si="3"/>
        <v>0</v>
      </c>
      <c r="J31" s="216">
        <f>ROUND(I31*K!$F$20,2)</f>
        <v>0</v>
      </c>
      <c r="K31" s="228">
        <f>ROUND(J31/$J$45,4)</f>
        <v>0</v>
      </c>
    </row>
    <row r="32" spans="1:11" ht="6" customHeight="1">
      <c r="A32" s="152"/>
      <c r="B32" s="152"/>
      <c r="C32" s="152"/>
      <c r="D32" s="152"/>
      <c r="E32" s="153"/>
      <c r="F32" s="154"/>
      <c r="G32" s="177"/>
      <c r="H32" s="223"/>
      <c r="I32" s="155"/>
      <c r="J32" s="155"/>
      <c r="K32" s="184"/>
    </row>
    <row r="33" spans="1:11" s="118" customFormat="1" ht="18" customHeight="1">
      <c r="A33" s="148" t="s">
        <v>70</v>
      </c>
      <c r="B33" s="163" t="s">
        <v>384</v>
      </c>
      <c r="C33" s="163"/>
      <c r="D33" s="163"/>
      <c r="E33" s="163"/>
      <c r="F33" s="150"/>
      <c r="G33" s="148"/>
      <c r="H33" s="149"/>
      <c r="I33" s="149"/>
      <c r="J33" s="164">
        <f>SUM(J34:J35)</f>
        <v>0</v>
      </c>
      <c r="K33" s="364">
        <f>SUM(K34:K35)</f>
        <v>0</v>
      </c>
    </row>
    <row r="34" spans="1:11" s="119" customFormat="1">
      <c r="A34" s="220" t="s">
        <v>351</v>
      </c>
      <c r="B34" s="220">
        <f>'P1'!B34</f>
        <v>65001667</v>
      </c>
      <c r="C34" s="220" t="str">
        <f>Custos!G37</f>
        <v>mar/2026</v>
      </c>
      <c r="D34" s="225" t="str">
        <f>Custos!D37</f>
        <v>COPASA</v>
      </c>
      <c r="E34" s="375" t="str">
        <f>Custos!B37</f>
        <v>Equipe de topografia de campo</v>
      </c>
      <c r="F34" s="222">
        <f>Custos!J37</f>
        <v>58490.33</v>
      </c>
      <c r="G34" s="263" t="str">
        <f>Custos!H37</f>
        <v>mês</v>
      </c>
      <c r="H34" s="263">
        <v>0</v>
      </c>
      <c r="I34" s="216">
        <f t="shared" ref="I34:I35" si="4">ROUND(H34*F34,2)</f>
        <v>0</v>
      </c>
      <c r="J34" s="216">
        <f>ROUND(I34*K!$F$20,2)</f>
        <v>0</v>
      </c>
      <c r="K34" s="228">
        <f t="shared" ref="K34:K35" si="5">ROUND(J34/$J$45,4)</f>
        <v>0</v>
      </c>
    </row>
    <row r="35" spans="1:11" s="119" customFormat="1">
      <c r="A35" s="220" t="s">
        <v>358</v>
      </c>
      <c r="B35" s="220">
        <f>'P1'!B35</f>
        <v>65001668</v>
      </c>
      <c r="C35" s="220" t="str">
        <f>Custos!G38</f>
        <v>mar/2026</v>
      </c>
      <c r="D35" s="225" t="str">
        <f>Custos!D38</f>
        <v>COPASA</v>
      </c>
      <c r="E35" s="375" t="str">
        <f>Custos!B38</f>
        <v>Equipe de topografia de escritório</v>
      </c>
      <c r="F35" s="222">
        <f>Custos!J38</f>
        <v>31279.74</v>
      </c>
      <c r="G35" s="263" t="str">
        <f>Custos!H38</f>
        <v>mês</v>
      </c>
      <c r="H35" s="263">
        <v>0</v>
      </c>
      <c r="I35" s="216">
        <f t="shared" si="4"/>
        <v>0</v>
      </c>
      <c r="J35" s="216">
        <f>ROUND(I35*K!$F$20,2)</f>
        <v>0</v>
      </c>
      <c r="K35" s="228">
        <f t="shared" si="5"/>
        <v>0</v>
      </c>
    </row>
    <row r="36" spans="1:11" ht="5.0999999999999996" customHeight="1">
      <c r="A36" s="220"/>
      <c r="B36" s="225"/>
      <c r="C36" s="225"/>
      <c r="D36" s="220"/>
      <c r="E36" s="165"/>
      <c r="F36" s="157"/>
      <c r="G36" s="214"/>
      <c r="H36" s="158"/>
      <c r="I36" s="151"/>
      <c r="J36" s="151"/>
      <c r="K36" s="183"/>
    </row>
    <row r="37" spans="1:11" s="118" customFormat="1" ht="18" customHeight="1">
      <c r="A37" s="148" t="s">
        <v>71</v>
      </c>
      <c r="B37" s="149" t="s">
        <v>386</v>
      </c>
      <c r="C37" s="163"/>
      <c r="D37" s="163"/>
      <c r="E37" s="163"/>
      <c r="F37" s="150"/>
      <c r="G37" s="148"/>
      <c r="H37" s="149"/>
      <c r="I37" s="149"/>
      <c r="J37" s="164">
        <f>SUM(J38:J39)</f>
        <v>0</v>
      </c>
      <c r="K37" s="364">
        <f>SUM(K38:K39)</f>
        <v>0</v>
      </c>
    </row>
    <row r="38" spans="1:11" s="119" customFormat="1">
      <c r="A38" s="225" t="s">
        <v>351</v>
      </c>
      <c r="B38" s="406">
        <f>Custos!E43</f>
        <v>65001114</v>
      </c>
      <c r="C38" s="225" t="str">
        <f>Custos!G43</f>
        <v>mar/2026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453.96</v>
      </c>
      <c r="G38" s="225" t="str">
        <f>Custos!H43</f>
        <v>unidade</v>
      </c>
      <c r="H38" s="263">
        <f>Serviços!J17</f>
        <v>0</v>
      </c>
      <c r="I38" s="216">
        <f t="shared" ref="I38:I39" si="6">ROUND(H38*F38,2)</f>
        <v>0</v>
      </c>
      <c r="J38" s="216">
        <f>ROUND(I38*K!$F$20,2)</f>
        <v>0</v>
      </c>
      <c r="K38" s="228">
        <f t="shared" ref="K38:K39" si="7">ROUND(J38/$J$45,4)</f>
        <v>0</v>
      </c>
    </row>
    <row r="39" spans="1:11" s="119" customFormat="1">
      <c r="A39" s="225" t="s">
        <v>358</v>
      </c>
      <c r="B39" s="406">
        <f>Custos!E44</f>
        <v>65001115</v>
      </c>
      <c r="C39" s="225" t="str">
        <f>Custos!G44</f>
        <v>mar/2026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179.28</v>
      </c>
      <c r="G39" s="225" t="str">
        <f>Custos!H44</f>
        <v>unidade</v>
      </c>
      <c r="H39" s="263">
        <f>Serviços!J18</f>
        <v>0</v>
      </c>
      <c r="I39" s="216">
        <f t="shared" si="6"/>
        <v>0</v>
      </c>
      <c r="J39" s="216">
        <f>ROUND(I39*K!$F$20,2)</f>
        <v>0</v>
      </c>
      <c r="K39" s="228">
        <f t="shared" si="7"/>
        <v>0</v>
      </c>
    </row>
    <row r="40" spans="1:11" s="118" customFormat="1" ht="18" customHeight="1">
      <c r="A40" s="354" t="s">
        <v>681</v>
      </c>
      <c r="B40" s="355" t="s">
        <v>682</v>
      </c>
      <c r="C40" s="355"/>
      <c r="D40" s="355"/>
      <c r="E40" s="174"/>
      <c r="F40" s="175"/>
      <c r="G40" s="173"/>
      <c r="H40" s="174"/>
      <c r="I40" s="174"/>
      <c r="J40" s="360">
        <f>J42</f>
        <v>0</v>
      </c>
      <c r="K40" s="349">
        <f>J40/$J$45</f>
        <v>0</v>
      </c>
    </row>
    <row r="41" spans="1:11" ht="5.0999999999999996" customHeight="1">
      <c r="A41" s="356"/>
      <c r="B41" s="160"/>
      <c r="C41" s="160"/>
      <c r="D41" s="356"/>
      <c r="E41" s="165"/>
      <c r="F41" s="157"/>
      <c r="G41" s="151"/>
      <c r="H41" s="158"/>
      <c r="I41" s="151"/>
      <c r="J41" s="151"/>
      <c r="K41" s="183"/>
    </row>
    <row r="42" spans="1:11" s="118" customFormat="1" ht="18" customHeight="1">
      <c r="A42" s="148" t="s">
        <v>81</v>
      </c>
      <c r="B42" s="149" t="s">
        <v>385</v>
      </c>
      <c r="C42" s="149"/>
      <c r="D42" s="149"/>
      <c r="E42" s="149"/>
      <c r="F42" s="150"/>
      <c r="G42" s="148"/>
      <c r="H42" s="149"/>
      <c r="I42" s="149"/>
      <c r="J42" s="169">
        <f>SUM(J43:J43)</f>
        <v>0</v>
      </c>
      <c r="K42" s="363">
        <f>SUM(K43:K43)</f>
        <v>0</v>
      </c>
    </row>
    <row r="43" spans="1:11" s="119" customFormat="1" ht="96.6">
      <c r="A43" s="220" t="s">
        <v>351</v>
      </c>
      <c r="B43" s="225" t="str">
        <f>Custos!F46</f>
        <v>-</v>
      </c>
      <c r="C43" s="225" t="str">
        <f>Custos!G46</f>
        <v>jan/2026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Custos!J46</f>
        <v>1.02</v>
      </c>
      <c r="G43" s="263" t="str">
        <f>'P1'!G43</f>
        <v>R$/dia</v>
      </c>
      <c r="H43" s="263">
        <v>0</v>
      </c>
      <c r="I43" s="216">
        <f>ROUND(H43*F43,2)</f>
        <v>0</v>
      </c>
      <c r="J43" s="216">
        <f>ROUND(I43*K!$F$20,2)</f>
        <v>0</v>
      </c>
      <c r="K43" s="228">
        <f>ROUND(J43/$J$45,4)</f>
        <v>0</v>
      </c>
    </row>
    <row r="44" spans="1:11" ht="6" customHeight="1">
      <c r="A44" s="143"/>
      <c r="B44" s="152"/>
      <c r="C44" s="152"/>
      <c r="D44" s="152"/>
      <c r="E44" s="166"/>
      <c r="F44" s="167"/>
      <c r="G44" s="177"/>
      <c r="H44" s="155"/>
      <c r="I44" s="155"/>
      <c r="J44" s="168"/>
      <c r="K44" s="185"/>
    </row>
    <row r="45" spans="1:11" ht="18" customHeight="1">
      <c r="A45" s="780" t="s">
        <v>684</v>
      </c>
      <c r="B45" s="780"/>
      <c r="C45" s="780"/>
      <c r="D45" s="780"/>
      <c r="E45" s="780"/>
      <c r="F45" s="357"/>
      <c r="G45" s="358"/>
      <c r="H45" s="359"/>
      <c r="I45" s="357" t="s">
        <v>685</v>
      </c>
      <c r="J45" s="357">
        <f>ROUND((J7+J14+J21+J40),2)</f>
        <v>89019.199999999997</v>
      </c>
      <c r="K45" s="362">
        <f>K7+K14+K21+K40</f>
        <v>1</v>
      </c>
    </row>
    <row r="46" spans="1:11" ht="6" customHeight="1">
      <c r="A46" s="122"/>
      <c r="B46" s="78"/>
      <c r="C46" s="78"/>
      <c r="D46" s="123"/>
      <c r="E46" s="124"/>
      <c r="F46" s="129"/>
      <c r="G46" s="123"/>
      <c r="H46" s="121"/>
      <c r="I46" s="125"/>
      <c r="J46" s="117"/>
      <c r="K46" s="232"/>
    </row>
    <row r="47" spans="1:11" ht="20.100000000000001" customHeight="1">
      <c r="A47" s="144" t="s">
        <v>297</v>
      </c>
      <c r="B47" s="145"/>
      <c r="C47" s="145"/>
      <c r="D47" s="145"/>
      <c r="E47" s="145"/>
      <c r="F47" s="146"/>
      <c r="G47" s="178"/>
      <c r="H47" s="145"/>
      <c r="I47" s="145"/>
      <c r="J47" s="145"/>
      <c r="K47" s="146"/>
    </row>
    <row r="48" spans="1:11" ht="17.45" customHeight="1">
      <c r="A48" s="147" t="s">
        <v>686</v>
      </c>
      <c r="B48" s="782" t="s">
        <v>687</v>
      </c>
      <c r="C48" s="782"/>
      <c r="D48" s="782"/>
      <c r="E48" s="782"/>
      <c r="F48" s="782"/>
      <c r="G48" s="782"/>
      <c r="H48" s="782"/>
      <c r="I48" s="782"/>
      <c r="J48" s="782"/>
      <c r="K48" s="782"/>
    </row>
    <row r="49" spans="1:11" ht="13.15" customHeight="1">
      <c r="A49" s="147" t="s">
        <v>688</v>
      </c>
      <c r="B49" s="781" t="s">
        <v>689</v>
      </c>
      <c r="C49" s="781"/>
      <c r="D49" s="781"/>
      <c r="E49" s="781"/>
      <c r="F49" s="781"/>
      <c r="G49" s="781"/>
      <c r="H49" s="781"/>
      <c r="I49" s="781"/>
      <c r="J49" s="781"/>
      <c r="K49" s="781"/>
    </row>
    <row r="50" spans="1:11" ht="13.15" customHeight="1">
      <c r="A50" s="147"/>
      <c r="C50" s="280"/>
      <c r="D50" s="280"/>
      <c r="E50" s="280"/>
      <c r="F50" s="280"/>
      <c r="G50" s="280"/>
      <c r="H50" s="280"/>
      <c r="I50" s="280"/>
      <c r="J50" s="280"/>
      <c r="K50" s="280"/>
    </row>
  </sheetData>
  <mergeCells count="5">
    <mergeCell ref="D1:K1"/>
    <mergeCell ref="F6:G6"/>
    <mergeCell ref="A45:E45"/>
    <mergeCell ref="B48:K48"/>
    <mergeCell ref="B49:K49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1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8" tint="-0.249977111117893"/>
    <pageSetUpPr fitToPage="1"/>
  </sheetPr>
  <dimension ref="A1:P52"/>
  <sheetViews>
    <sheetView showGridLines="0" view="pageBreakPreview" zoomScaleNormal="100" zoomScaleSheetLayoutView="100" workbookViewId="0">
      <selection activeCell="J43" sqref="J43"/>
    </sheetView>
  </sheetViews>
  <sheetFormatPr defaultColWidth="9.140625" defaultRowHeight="15.6"/>
  <cols>
    <col min="1" max="1" width="5" style="79" customWidth="1"/>
    <col min="2" max="3" width="11" style="79" customWidth="1"/>
    <col min="4" max="4" width="13.85546875" style="79" customWidth="1"/>
    <col min="5" max="5" width="43.140625" style="79" customWidth="1"/>
    <col min="6" max="6" width="9.28515625" style="127" customWidth="1"/>
    <col min="7" max="7" width="8.28515625" style="130" bestFit="1" customWidth="1"/>
    <col min="8" max="8" width="12.140625" style="433" customWidth="1"/>
    <col min="9" max="9" width="12.7109375" style="79" customWidth="1"/>
    <col min="10" max="10" width="13" style="79" customWidth="1"/>
    <col min="11" max="11" width="12.140625" style="127" customWidth="1"/>
    <col min="12" max="22" width="12.7109375" style="79" customWidth="1"/>
    <col min="23" max="16384" width="9.140625" style="79"/>
  </cols>
  <sheetData>
    <row r="1" spans="1:16" ht="35.25" customHeight="1">
      <c r="B1" s="126"/>
      <c r="C1" s="778" t="str">
        <f>'P1'!C1:K1</f>
        <v xml:space="preserve">ORÇAMENTO PARA ELABORAÇÃO DE PROJETOS DE SISTEMA DE ESGOTAMENTO SANITÁRIO </v>
      </c>
      <c r="D1" s="778"/>
      <c r="E1" s="778"/>
      <c r="F1" s="778"/>
      <c r="G1" s="778"/>
      <c r="H1" s="778"/>
      <c r="I1" s="778"/>
      <c r="J1" s="778"/>
      <c r="K1" s="778"/>
    </row>
    <row r="2" spans="1:16" s="118" customFormat="1" ht="15" customHeight="1">
      <c r="A2" s="78" t="s">
        <v>701</v>
      </c>
      <c r="D2" s="81"/>
      <c r="F2" s="128"/>
      <c r="G2" s="176"/>
      <c r="H2" s="423"/>
      <c r="J2" s="115" t="s">
        <v>143</v>
      </c>
      <c r="K2" s="63">
        <f ca="1">'Dados Básicos do município'!H4</f>
        <v>46170</v>
      </c>
    </row>
    <row r="3" spans="1:16" s="118" customFormat="1" ht="15" customHeight="1">
      <c r="A3" s="78" t="s">
        <v>144</v>
      </c>
      <c r="C3" s="81" t="str">
        <f>'Dados Básicos do município'!B5</f>
        <v>CBH-PIRANGA</v>
      </c>
      <c r="F3" s="128"/>
      <c r="G3" s="176"/>
      <c r="H3" s="423"/>
      <c r="K3" s="128"/>
    </row>
    <row r="4" spans="1:16" s="118" customFormat="1" ht="15" customHeight="1">
      <c r="A4" s="78" t="s">
        <v>145</v>
      </c>
      <c r="C4" s="81" t="str">
        <f>'Dados Básicos do município'!B6</f>
        <v>São Miguel do Anta/MG</v>
      </c>
      <c r="F4" s="128"/>
      <c r="G4" s="176"/>
      <c r="H4" s="423"/>
      <c r="J4" s="116"/>
      <c r="K4" s="115"/>
    </row>
    <row r="5" spans="1:16" ht="6" customHeight="1">
      <c r="A5" s="152"/>
      <c r="B5" s="152"/>
      <c r="C5" s="152"/>
      <c r="D5" s="152"/>
      <c r="E5" s="153"/>
      <c r="F5" s="154"/>
      <c r="G5" s="177"/>
      <c r="H5" s="424"/>
      <c r="I5" s="155"/>
      <c r="J5" s="155"/>
      <c r="K5" s="184"/>
    </row>
    <row r="6" spans="1:16" s="130" customFormat="1" ht="47.45" customHeight="1">
      <c r="A6" s="341" t="s">
        <v>670</v>
      </c>
      <c r="B6" s="341" t="s">
        <v>19</v>
      </c>
      <c r="C6" s="341" t="s">
        <v>671</v>
      </c>
      <c r="D6" s="341" t="s">
        <v>672</v>
      </c>
      <c r="E6" s="342" t="s">
        <v>673</v>
      </c>
      <c r="F6" s="779" t="s">
        <v>674</v>
      </c>
      <c r="G6" s="779"/>
      <c r="H6" s="425" t="s">
        <v>675</v>
      </c>
      <c r="I6" s="344" t="s">
        <v>676</v>
      </c>
      <c r="J6" s="344" t="s">
        <v>677</v>
      </c>
      <c r="K6" s="344" t="s">
        <v>678</v>
      </c>
    </row>
    <row r="7" spans="1:16" s="118" customFormat="1" ht="18" customHeight="1">
      <c r="A7" s="345">
        <v>1</v>
      </c>
      <c r="B7" s="346" t="s">
        <v>679</v>
      </c>
      <c r="C7" s="346"/>
      <c r="D7" s="346"/>
      <c r="E7" s="346"/>
      <c r="F7" s="347"/>
      <c r="G7" s="345"/>
      <c r="H7" s="426"/>
      <c r="I7" s="346"/>
      <c r="J7" s="348">
        <f>J9</f>
        <v>204189.59000000003</v>
      </c>
      <c r="K7" s="349">
        <f>J7/$J$45</f>
        <v>0.47310256274327106</v>
      </c>
    </row>
    <row r="8" spans="1:16" ht="6" customHeight="1">
      <c r="A8" s="152"/>
      <c r="B8" s="152"/>
      <c r="C8" s="152"/>
      <c r="D8" s="152"/>
      <c r="E8" s="153"/>
      <c r="F8" s="154"/>
      <c r="G8" s="177"/>
      <c r="H8" s="424"/>
      <c r="I8" s="155"/>
      <c r="J8" s="155"/>
      <c r="K8" s="184"/>
    </row>
    <row r="9" spans="1:16" s="118" customFormat="1" ht="18" customHeight="1">
      <c r="A9" s="170" t="s">
        <v>38</v>
      </c>
      <c r="B9" s="171" t="s">
        <v>349</v>
      </c>
      <c r="C9" s="171"/>
      <c r="D9" s="171"/>
      <c r="E9" s="171"/>
      <c r="F9" s="172"/>
      <c r="G9" s="170"/>
      <c r="H9" s="427"/>
      <c r="I9" s="171"/>
      <c r="J9" s="361">
        <f>SUM(J10:J12)</f>
        <v>204189.59000000003</v>
      </c>
      <c r="K9" s="365">
        <f>SUM(K10:K12)</f>
        <v>0.47310000000000002</v>
      </c>
    </row>
    <row r="10" spans="1:16" s="119" customFormat="1" ht="16.149999999999999" customHeight="1">
      <c r="A10" s="220" t="s">
        <v>351</v>
      </c>
      <c r="B10" s="213" t="str">
        <f>'P1'!B10</f>
        <v>P8061</v>
      </c>
      <c r="C10" s="213" t="str">
        <f>Custos!G13</f>
        <v>jan/2026</v>
      </c>
      <c r="D10" s="214" t="str">
        <f>Custos!$D$13</f>
        <v>DNIT</v>
      </c>
      <c r="E10" s="215" t="str">
        <f>Custos!B13</f>
        <v>Engenheiro Coordenador</v>
      </c>
      <c r="F10" s="216">
        <f>Custos!J13</f>
        <v>131.97</v>
      </c>
      <c r="G10" s="214" t="s">
        <v>356</v>
      </c>
      <c r="H10" s="619">
        <f>'P1'!H10+'P2'!H10+'P3'!H10+'P4'!H10+'P5'!H10+'P6'!H10+P7a!H10+P7b!H10+'P8'!H10</f>
        <v>286.03000000000003</v>
      </c>
      <c r="I10" s="216">
        <f>'P1'!I10+'P2'!I10+'P3'!I10+'P4'!I10+'P5'!I10+'P6'!I10+P7a!I10+P7b!I10+'P8'!I10</f>
        <v>37747.39</v>
      </c>
      <c r="J10" s="216">
        <f>'P1'!J10+'P2'!J10+'P3'!J10+'P4'!J10+'P5'!J10+'P6'!J10+P7a!J10+P7b!J10+'P8'!J10</f>
        <v>95123.420000000013</v>
      </c>
      <c r="K10" s="228">
        <f>ROUND(J10/$J$45,4)</f>
        <v>0.22040000000000001</v>
      </c>
      <c r="L10" s="552">
        <f>'Horas trabalhadas'!L9</f>
        <v>286.03000000000003</v>
      </c>
      <c r="M10" s="120"/>
    </row>
    <row r="11" spans="1:16" s="119" customFormat="1" ht="16.149999999999999" customHeight="1">
      <c r="A11" s="220" t="s">
        <v>358</v>
      </c>
      <c r="B11" s="213" t="str">
        <f>'P1'!B11</f>
        <v>P8066</v>
      </c>
      <c r="C11" s="217" t="str">
        <f>Custos!G14</f>
        <v>jan/2026</v>
      </c>
      <c r="D11" s="218" t="str">
        <f>Custos!D14</f>
        <v>DNIT</v>
      </c>
      <c r="E11" s="215" t="str">
        <f>Custos!B14</f>
        <v>Engenheiro de Projetos Pleno</v>
      </c>
      <c r="F11" s="219">
        <f>Custos!J14</f>
        <v>99.01</v>
      </c>
      <c r="G11" s="218" t="s">
        <v>356</v>
      </c>
      <c r="H11" s="619">
        <f>'P1'!H11+'P2'!H11+'P3'!H11+'P4'!H11+'P5'!H11+'P6'!H11+P7a!H11+P7b!H11+'P8'!H11</f>
        <v>313.69</v>
      </c>
      <c r="I11" s="216">
        <f>'P1'!I11+'P2'!I11+'P3'!I11+'P4'!I11+'P5'!I11+'P6'!I11+P7a!I11+P7b!I11+'P8'!I11</f>
        <v>31058.449999999997</v>
      </c>
      <c r="J11" s="216">
        <f>'P1'!J11+'P2'!J11+'P3'!J11+'P4'!J11+'P5'!J11+'P6'!J11+P7a!J11+P7b!J11+'P8'!J11</f>
        <v>78267.289999999994</v>
      </c>
      <c r="K11" s="228">
        <f>ROUND(J11/$J$45,4)</f>
        <v>0.18129999999999999</v>
      </c>
      <c r="M11" s="120"/>
      <c r="N11" s="413"/>
      <c r="O11" s="414"/>
      <c r="P11" s="415"/>
    </row>
    <row r="12" spans="1:16" s="119" customFormat="1" ht="16.149999999999999" customHeight="1">
      <c r="A12" s="220" t="s">
        <v>361</v>
      </c>
      <c r="B12" s="213" t="str">
        <f>'P1'!B12</f>
        <v>P8026</v>
      </c>
      <c r="C12" s="217" t="str">
        <f>Custos!G15</f>
        <v>jan/2026</v>
      </c>
      <c r="D12" s="218" t="str">
        <f>Custos!D15</f>
        <v>DNIT</v>
      </c>
      <c r="E12" s="215" t="str">
        <f>Custos!B15</f>
        <v>Auxiliar Administrativo</v>
      </c>
      <c r="F12" s="219">
        <f>Custos!J15</f>
        <v>13.56</v>
      </c>
      <c r="G12" s="218" t="s">
        <v>356</v>
      </c>
      <c r="H12" s="619">
        <f>'P1'!H12+'P2'!H12+'P3'!H12+'P4'!H12+'P5'!H12+'P6'!H12+P7a!H12+P7b!H12+'P8'!H12</f>
        <v>901.31</v>
      </c>
      <c r="I12" s="216">
        <f>'P1'!I12+'P2'!I12+'P3'!I12+'P4'!I12+'P5'!I12+'P6'!I12+P7a!I12+P7b!I12+'P8'!I12</f>
        <v>12221.769999999999</v>
      </c>
      <c r="J12" s="216">
        <f>'P1'!J12+'P2'!J12+'P3'!J12+'P4'!J12+'P5'!J12+'P6'!J12+P7a!J12+P7b!J12+'P8'!J12</f>
        <v>30798.879999999997</v>
      </c>
      <c r="K12" s="228">
        <f>ROUND(J12/$J$45,4)</f>
        <v>7.1400000000000005E-2</v>
      </c>
      <c r="M12" s="120"/>
    </row>
    <row r="13" spans="1:16" ht="6" customHeight="1">
      <c r="A13" s="152"/>
      <c r="B13" s="152"/>
      <c r="C13" s="152"/>
      <c r="D13" s="152"/>
      <c r="E13" s="153"/>
      <c r="F13" s="620"/>
      <c r="G13" s="177"/>
      <c r="H13" s="177"/>
      <c r="I13" s="155"/>
      <c r="J13" s="155"/>
      <c r="K13" s="184"/>
      <c r="M13" s="120"/>
    </row>
    <row r="14" spans="1:16" s="118" customFormat="1" ht="18" customHeight="1">
      <c r="A14" s="345">
        <v>2</v>
      </c>
      <c r="B14" s="346" t="s">
        <v>365</v>
      </c>
      <c r="C14" s="346"/>
      <c r="D14" s="346"/>
      <c r="E14" s="346"/>
      <c r="F14" s="621"/>
      <c r="G14" s="622"/>
      <c r="H14" s="348"/>
      <c r="I14" s="348"/>
      <c r="J14" s="348">
        <f>J16</f>
        <v>100389.19</v>
      </c>
      <c r="K14" s="349">
        <f>J14/$J$45</f>
        <v>0.23259943399034766</v>
      </c>
      <c r="M14" s="120"/>
    </row>
    <row r="15" spans="1:16" ht="5.0999999999999996" customHeight="1">
      <c r="A15" s="159"/>
      <c r="B15" s="160"/>
      <c r="C15" s="160"/>
      <c r="D15" s="161"/>
      <c r="E15" s="162"/>
      <c r="F15" s="157"/>
      <c r="G15" s="151"/>
      <c r="H15" s="161"/>
      <c r="I15" s="151"/>
      <c r="J15" s="151"/>
      <c r="K15" s="183"/>
      <c r="M15" s="120"/>
    </row>
    <row r="16" spans="1:16" s="118" customFormat="1" ht="18" customHeight="1">
      <c r="A16" s="350" t="s">
        <v>56</v>
      </c>
      <c r="B16" s="351" t="s">
        <v>365</v>
      </c>
      <c r="C16" s="351"/>
      <c r="D16" s="351"/>
      <c r="E16" s="351"/>
      <c r="F16" s="353"/>
      <c r="G16" s="623"/>
      <c r="H16" s="624"/>
      <c r="I16" s="353"/>
      <c r="J16" s="353">
        <f>SUM(J17:J19)</f>
        <v>100389.19</v>
      </c>
      <c r="K16" s="366">
        <f>SUM(K17:K19)</f>
        <v>0.2326</v>
      </c>
      <c r="M16" s="120"/>
    </row>
    <row r="17" spans="1:13" s="119" customFormat="1" ht="16.149999999999999" customHeight="1">
      <c r="A17" s="220" t="s">
        <v>351</v>
      </c>
      <c r="B17" s="213" t="str">
        <f>'P1'!B17</f>
        <v>P8067</v>
      </c>
      <c r="C17" s="213" t="str">
        <f>Custos!G20</f>
        <v>jan/2026</v>
      </c>
      <c r="D17" s="218" t="str">
        <f>Custos!D20</f>
        <v>DNIT</v>
      </c>
      <c r="E17" s="215" t="str">
        <f>Custos!B20</f>
        <v>Engenheiro de Projetos (Elétrico)</v>
      </c>
      <c r="F17" s="216">
        <f>Custos!J20</f>
        <v>115.11</v>
      </c>
      <c r="G17" s="214" t="s">
        <v>356</v>
      </c>
      <c r="H17" s="619">
        <f>'P1'!H17+'P2'!H17+'P3'!H17+'P4'!H17+'P5'!H17+'P6'!H17+P7a!H17+P7b!H17+'P8'!H17</f>
        <v>122.58</v>
      </c>
      <c r="I17" s="216">
        <f>'P1'!I17+'P2'!I17+'P3'!I17+'P4'!I17+'P5'!I17+'P6'!I17+P7a!I17+P7b!I17+'P8'!I17</f>
        <v>14110.19</v>
      </c>
      <c r="J17" s="216">
        <f>'P1'!J17+'P2'!J17+'P3'!J17+'P4'!J17+'P5'!J17+'P6'!J17+P7a!J17+P7b!J17+'P8'!J17</f>
        <v>35557.68</v>
      </c>
      <c r="K17" s="227">
        <f>ROUND(J17/$J$45,4)</f>
        <v>8.2400000000000001E-2</v>
      </c>
      <c r="M17" s="120"/>
    </row>
    <row r="18" spans="1:13" s="119" customFormat="1" ht="16.149999999999999" customHeight="1">
      <c r="A18" s="220" t="s">
        <v>358</v>
      </c>
      <c r="B18" s="213" t="str">
        <f>'P1'!B18</f>
        <v>P8067</v>
      </c>
      <c r="C18" s="213" t="str">
        <f>Custos!G21</f>
        <v>jan/2026</v>
      </c>
      <c r="D18" s="218" t="str">
        <f>Custos!D21</f>
        <v>DNIT</v>
      </c>
      <c r="E18" s="215" t="str">
        <f>Custos!B21</f>
        <v>Engenheiro de Projeto (Calculista)</v>
      </c>
      <c r="F18" s="216">
        <f>Custos!J21</f>
        <v>115.11</v>
      </c>
      <c r="G18" s="214" t="s">
        <v>356</v>
      </c>
      <c r="H18" s="619">
        <f>'P1'!H18+'P2'!H18+'P3'!H18+'P4'!H18+'P5'!H18+'P6'!H18+P7a!H18+P7b!H18+'P8'!H18</f>
        <v>122.58</v>
      </c>
      <c r="I18" s="216">
        <f>'P1'!I18+'P2'!I18+'P3'!I18+'P4'!I18+'P5'!I18+'P6'!I18+P7a!I18+P7b!I18+'P8'!I18</f>
        <v>14110.19</v>
      </c>
      <c r="J18" s="216">
        <f>'P1'!J18+'P2'!J18+'P3'!J18+'P4'!J18+'P5'!J18+'P6'!J18+P7a!J18+P7b!J18+'P8'!J18</f>
        <v>35557.68</v>
      </c>
      <c r="K18" s="227">
        <f>ROUND(J18/$J$45,4)</f>
        <v>8.2400000000000001E-2</v>
      </c>
      <c r="M18" s="120"/>
    </row>
    <row r="19" spans="1:13" s="119" customFormat="1" ht="16.149999999999999" customHeight="1">
      <c r="A19" s="220" t="s">
        <v>361</v>
      </c>
      <c r="B19" s="213" t="str">
        <f>'P1'!B19</f>
        <v>P8059</v>
      </c>
      <c r="C19" s="213" t="str">
        <f>Custos!G22</f>
        <v>jan/2026</v>
      </c>
      <c r="D19" s="218" t="str">
        <f>Custos!D22</f>
        <v>DNIT</v>
      </c>
      <c r="E19" s="215" t="str">
        <f>Custos!B22</f>
        <v>Engenheiro ambiental</v>
      </c>
      <c r="F19" s="216">
        <f>Custos!J22</f>
        <v>120.83</v>
      </c>
      <c r="G19" s="214" t="s">
        <v>356</v>
      </c>
      <c r="H19" s="619">
        <f>'P1'!H19+'P2'!H19+'P3'!H19+'P4'!H19+'P5'!H19+'P6'!H19+P7a!H19+P7b!H19+'P8'!H19</f>
        <v>96.14</v>
      </c>
      <c r="I19" s="216">
        <f>'P1'!I19+'P2'!I19+'P3'!I19+'P4'!I19+'P5'!I19+'P6'!I19+P7a!I19+P7b!I19+'P8'!I19</f>
        <v>11616.6</v>
      </c>
      <c r="J19" s="216">
        <f>'P1'!J19+'P2'!J19+'P3'!J19+'P4'!J19+'P5'!J19+'P6'!J19+P7a!J19+P7b!J19+'P8'!J19</f>
        <v>29273.83</v>
      </c>
      <c r="K19" s="227">
        <f>ROUND(J19/$J$45,4)</f>
        <v>6.7799999999999999E-2</v>
      </c>
      <c r="M19" s="120"/>
    </row>
    <row r="20" spans="1:13" ht="6" customHeight="1">
      <c r="A20" s="152"/>
      <c r="B20" s="152"/>
      <c r="C20" s="152"/>
      <c r="D20" s="152"/>
      <c r="E20" s="153"/>
      <c r="F20" s="620"/>
      <c r="G20" s="177"/>
      <c r="H20" s="177"/>
      <c r="I20" s="155"/>
      <c r="J20" s="155"/>
      <c r="K20" s="184"/>
      <c r="M20" s="120"/>
    </row>
    <row r="21" spans="1:13" s="118" customFormat="1" ht="18" customHeight="1">
      <c r="A21" s="354">
        <v>3</v>
      </c>
      <c r="B21" s="355" t="s">
        <v>138</v>
      </c>
      <c r="C21" s="355"/>
      <c r="D21" s="355"/>
      <c r="E21" s="174"/>
      <c r="F21" s="625"/>
      <c r="G21" s="626"/>
      <c r="H21" s="627"/>
      <c r="I21" s="627"/>
      <c r="J21" s="360">
        <f>J23+J28+J33+J37</f>
        <v>110859.28999999998</v>
      </c>
      <c r="K21" s="349">
        <f>J21/$J$45</f>
        <v>0.25685841380503022</v>
      </c>
      <c r="M21" s="120"/>
    </row>
    <row r="22" spans="1:13" ht="5.0999999999999996" customHeight="1">
      <c r="A22" s="159"/>
      <c r="B22" s="160"/>
      <c r="C22" s="160"/>
      <c r="D22" s="161"/>
      <c r="E22" s="162"/>
      <c r="F22" s="157"/>
      <c r="G22" s="151"/>
      <c r="H22" s="161"/>
      <c r="I22" s="151"/>
      <c r="J22" s="151"/>
      <c r="K22" s="183"/>
      <c r="M22" s="120"/>
    </row>
    <row r="23" spans="1:13" s="118" customFormat="1" ht="18" customHeight="1">
      <c r="A23" s="170" t="s">
        <v>68</v>
      </c>
      <c r="B23" s="171" t="s">
        <v>379</v>
      </c>
      <c r="C23" s="171"/>
      <c r="D23" s="171"/>
      <c r="E23" s="171"/>
      <c r="F23" s="361"/>
      <c r="G23" s="628"/>
      <c r="H23" s="629"/>
      <c r="I23" s="629"/>
      <c r="J23" s="361">
        <f>SUM(J24:J26)</f>
        <v>25542.09</v>
      </c>
      <c r="K23" s="365">
        <f>SUM(K24:K26)</f>
        <v>5.9200000000000003E-2</v>
      </c>
      <c r="M23" s="120"/>
    </row>
    <row r="24" spans="1:13" s="119" customFormat="1">
      <c r="A24" s="220" t="s">
        <v>351</v>
      </c>
      <c r="B24" s="213">
        <f>'P1'!B24</f>
        <v>65003710</v>
      </c>
      <c r="C24" s="220" t="str">
        <f>Custos!G32</f>
        <v>mar/2026</v>
      </c>
      <c r="D24" s="225" t="str">
        <f>Custos!D32</f>
        <v>COPASA</v>
      </c>
      <c r="E24" s="406" t="str">
        <f>Custos!B32</f>
        <v>Mobilização e desmobilização de equipe de topografia</v>
      </c>
      <c r="F24" s="222">
        <f>Custos!J32</f>
        <v>5.32</v>
      </c>
      <c r="G24" s="263" t="str">
        <f>Custos!H32</f>
        <v>km</v>
      </c>
      <c r="H24" s="619">
        <f>'P1'!H24+'P2'!H24+'P3'!H24+'P4'!H24+'P5'!H24+'P6'!H24+P7a!H24+P7b!H24+'P8'!H24</f>
        <v>756</v>
      </c>
      <c r="I24" s="216">
        <f>'P1'!I24+'P2'!I24+'P3'!I24+'P4'!I24+'P5'!I24+'P6'!I24+P7a!I24+P7b!I24+'P8'!I24</f>
        <v>4021.92</v>
      </c>
      <c r="J24" s="216">
        <f>'P1'!J24+'P2'!J24+'P3'!J24+'P4'!J24+'P5'!J24+'P6'!J24+P7a!J24+P7b!J24+'P8'!J24</f>
        <v>5107.84</v>
      </c>
      <c r="K24" s="228">
        <f>ROUND(J24/$J$45,4)</f>
        <v>1.18E-2</v>
      </c>
      <c r="M24" s="120"/>
    </row>
    <row r="25" spans="1:13" s="119" customFormat="1">
      <c r="A25" s="220" t="s">
        <v>358</v>
      </c>
      <c r="B25" s="213">
        <f>'P1'!B25</f>
        <v>65001667</v>
      </c>
      <c r="C25" s="220" t="str">
        <f>Custos!G33</f>
        <v>mar/2026</v>
      </c>
      <c r="D25" s="225" t="str">
        <f>Custos!D33</f>
        <v>COPASA</v>
      </c>
      <c r="E25" s="375" t="str">
        <f>Custos!B33</f>
        <v>Equipe de topografia de campo</v>
      </c>
      <c r="F25" s="222">
        <f>Custos!J33</f>
        <v>58490.33</v>
      </c>
      <c r="G25" s="263" t="str">
        <f>Custos!H33</f>
        <v>mês</v>
      </c>
      <c r="H25" s="619">
        <f>'P1'!H25+'P2'!H25+'P3'!H25+'P4'!H25+'P5'!H25+'P6'!H25+P7a!H25+P7b!H25+'P8'!H25</f>
        <v>0.12</v>
      </c>
      <c r="I25" s="216">
        <f>'P1'!I25+'P2'!I25+'P3'!I25+'P4'!I25+'P5'!I25+'P6'!I25+P7a!I25+P7b!I25+'P8'!I25</f>
        <v>7018.84</v>
      </c>
      <c r="J25" s="216">
        <f>'P1'!J25+'P2'!J25+'P3'!J25+'P4'!J25+'P5'!J25+'P6'!J25+P7a!J25+P7b!J25+'P8'!J25</f>
        <v>8913.93</v>
      </c>
      <c r="K25" s="228">
        <f>ROUND(J25/$J$45,4)</f>
        <v>2.07E-2</v>
      </c>
      <c r="M25" s="120"/>
    </row>
    <row r="26" spans="1:13" s="119" customFormat="1">
      <c r="A26" s="220" t="s">
        <v>361</v>
      </c>
      <c r="B26" s="213">
        <f>'P1'!B26</f>
        <v>65001668</v>
      </c>
      <c r="C26" s="220" t="str">
        <f>Custos!G34</f>
        <v>mar/2026</v>
      </c>
      <c r="D26" s="225" t="str">
        <f>Custos!D34</f>
        <v>COPASA</v>
      </c>
      <c r="E26" s="375" t="str">
        <f>Custos!B34</f>
        <v>Equipe de topografia de escritório</v>
      </c>
      <c r="F26" s="222">
        <f>Custos!J34</f>
        <v>31279.74</v>
      </c>
      <c r="G26" s="263" t="str">
        <f>Custos!H34</f>
        <v>mês</v>
      </c>
      <c r="H26" s="619">
        <f>'P1'!H26+'P2'!H26+'P3'!H26+'P4'!H26+'P5'!H26+'P6'!H26+P7a!H26+P7b!H26+'P8'!H26</f>
        <v>0.29000000000000004</v>
      </c>
      <c r="I26" s="216">
        <f>'P1'!I26+'P2'!I26+'P3'!I26+'P4'!I26+'P5'!I26+'P6'!I26+P7a!I26+P7b!I26+'P8'!I26</f>
        <v>9071.1200000000008</v>
      </c>
      <c r="J26" s="216">
        <f>'P1'!J26+'P2'!J26+'P3'!J26+'P4'!J26+'P5'!J26+'P6'!J26+P7a!J26+P7b!J26+'P8'!J26</f>
        <v>11520.32</v>
      </c>
      <c r="K26" s="228">
        <f>ROUND(J26/$J$45,4)</f>
        <v>2.6700000000000002E-2</v>
      </c>
      <c r="M26" s="120"/>
    </row>
    <row r="27" spans="1:13" ht="5.0999999999999996" customHeight="1">
      <c r="A27" s="159"/>
      <c r="B27" s="160"/>
      <c r="C27" s="160"/>
      <c r="D27" s="161"/>
      <c r="E27" s="162"/>
      <c r="F27" s="157"/>
      <c r="G27" s="151"/>
      <c r="H27" s="161"/>
      <c r="I27" s="151"/>
      <c r="J27" s="151"/>
      <c r="K27" s="183"/>
      <c r="M27" s="120"/>
    </row>
    <row r="28" spans="1:13" s="118" customFormat="1" ht="18" customHeight="1">
      <c r="A28" s="148" t="s">
        <v>69</v>
      </c>
      <c r="B28" s="163" t="s">
        <v>649</v>
      </c>
      <c r="C28" s="163"/>
      <c r="D28" s="163"/>
      <c r="E28" s="163"/>
      <c r="F28" s="169"/>
      <c r="G28" s="630"/>
      <c r="H28" s="631"/>
      <c r="I28" s="631"/>
      <c r="J28" s="164">
        <f>SUM(J29:J31)</f>
        <v>28016.059999999998</v>
      </c>
      <c r="K28" s="364">
        <f>SUM(K29:K31)</f>
        <v>6.4899999999999999E-2</v>
      </c>
      <c r="M28" s="120"/>
    </row>
    <row r="29" spans="1:13" s="119" customFormat="1" ht="27.6">
      <c r="A29" s="220" t="s">
        <v>351</v>
      </c>
      <c r="B29" s="213">
        <f>'P1'!B29</f>
        <v>65001207</v>
      </c>
      <c r="C29" s="220" t="str">
        <f>Custos!G27</f>
        <v>mar/2026</v>
      </c>
      <c r="D29" s="225" t="str">
        <f>Custos!D27</f>
        <v>COPASA</v>
      </c>
      <c r="E29" s="407" t="str">
        <f>Custos!B27</f>
        <v>Sondagem a percussao - mobilizacao e desmobilizacao</v>
      </c>
      <c r="F29" s="222">
        <f>Custos!J27</f>
        <v>1417.53</v>
      </c>
      <c r="G29" s="263" t="str">
        <f>Custos!H27</f>
        <v>unidade</v>
      </c>
      <c r="H29" s="619">
        <f>'P1'!H29+'P2'!H29+'P3'!H29+'P4'!H29+'P5'!H29+'P6'!H29+P7a!H29+P7b!H29+'P8'!H29</f>
        <v>1</v>
      </c>
      <c r="I29" s="216">
        <f>'P1'!I29+'P2'!I29+'P3'!I29+'P4'!I29+'P5'!I29+'P6'!I29+P7a!I29+P7b!I29+'P8'!I29</f>
        <v>1417.53</v>
      </c>
      <c r="J29" s="216">
        <f>'P1'!J29+'P2'!J29+'P3'!J29+'P4'!J29+'P5'!J29+'P6'!J29+P7a!J29+P7b!J29+'P8'!J29</f>
        <v>1800.26</v>
      </c>
      <c r="K29" s="228">
        <f>ROUND(J29/$J$45,4)</f>
        <v>4.1999999999999997E-3</v>
      </c>
      <c r="M29" s="120"/>
    </row>
    <row r="30" spans="1:13" s="119" customFormat="1">
      <c r="A30" s="220" t="s">
        <v>358</v>
      </c>
      <c r="B30" s="213">
        <f>'P1'!B30</f>
        <v>65001209</v>
      </c>
      <c r="C30" s="220" t="str">
        <f>Custos!G28</f>
        <v>mar/2026</v>
      </c>
      <c r="D30" s="225" t="str">
        <f>Custos!D28</f>
        <v>COPASA</v>
      </c>
      <c r="E30" s="407" t="str">
        <f>Custos!B28</f>
        <v>Sondagem a percussao - instalacao por furo</v>
      </c>
      <c r="F30" s="222">
        <f>Custos!J28</f>
        <v>506.64</v>
      </c>
      <c r="G30" s="263" t="str">
        <f>Custos!H28</f>
        <v>unidade</v>
      </c>
      <c r="H30" s="619">
        <f>'P1'!H30+'P2'!H30+'P3'!H30+'P4'!H30+'P5'!H30+'P6'!H30+P7a!H30+P7b!H30+'P8'!H30</f>
        <v>10.01</v>
      </c>
      <c r="I30" s="216">
        <f>'P1'!I30+'P2'!I30+'P3'!I30+'P4'!I30+'P5'!I30+'P6'!I30+P7a!I30+P7b!I30+'P8'!I30</f>
        <v>5071.47</v>
      </c>
      <c r="J30" s="216">
        <f>'P1'!J30+'P2'!J30+'P3'!J30+'P4'!J30+'P5'!J30+'P6'!J30+P7a!J30+P7b!J30+'P8'!J30</f>
        <v>6440.77</v>
      </c>
      <c r="K30" s="228">
        <f>ROUND(J30/$J$45,4)</f>
        <v>1.49E-2</v>
      </c>
      <c r="M30" s="120"/>
    </row>
    <row r="31" spans="1:13" s="119" customFormat="1" ht="26.45" customHeight="1">
      <c r="A31" s="220" t="s">
        <v>361</v>
      </c>
      <c r="B31" s="213">
        <f>'P1'!B31</f>
        <v>65001210</v>
      </c>
      <c r="C31" s="225" t="str">
        <f>Custos!G29</f>
        <v>mar/2026</v>
      </c>
      <c r="D31" s="225" t="str">
        <f>Custos!D29</f>
        <v>COPASA</v>
      </c>
      <c r="E31" s="405" t="str">
        <f>Custos!B29</f>
        <v>Sondagem a percussao ø2.1/2" - perfuracao e retirada de amostras</v>
      </c>
      <c r="F31" s="222">
        <f>Custos!J29</f>
        <v>155.6</v>
      </c>
      <c r="G31" s="263" t="str">
        <f>Custos!H29</f>
        <v>m</v>
      </c>
      <c r="H31" s="619">
        <f>'P1'!H31+'P2'!H31+'P3'!H31+'P4'!H31+'P5'!H31+'P6'!H31+P7a!H31+P7b!H31+'P8'!H31</f>
        <v>100.07</v>
      </c>
      <c r="I31" s="216">
        <f>'P1'!I31+'P2'!I31+'P3'!I31+'P4'!I31+'P5'!I31+'P6'!I31+P7a!I31+P7b!I31+'P8'!I31</f>
        <v>15570.89</v>
      </c>
      <c r="J31" s="216">
        <f>'P1'!J31+'P2'!J31+'P3'!J31+'P4'!J31+'P5'!J31+'P6'!J31+P7a!J31+P7b!J31+'P8'!J31</f>
        <v>19775.03</v>
      </c>
      <c r="K31" s="227">
        <f>ROUND(J31/$J$45,4)</f>
        <v>4.58E-2</v>
      </c>
      <c r="M31" s="120"/>
    </row>
    <row r="32" spans="1:13" s="119" customFormat="1" ht="9" customHeight="1">
      <c r="A32" s="274"/>
      <c r="B32" s="159"/>
      <c r="C32" s="159"/>
      <c r="D32" s="275"/>
      <c r="E32" s="276"/>
      <c r="F32" s="277"/>
      <c r="G32" s="151"/>
      <c r="H32" s="632"/>
      <c r="I32" s="278"/>
      <c r="J32" s="278"/>
      <c r="K32" s="279"/>
      <c r="M32" s="120"/>
    </row>
    <row r="33" spans="1:13" s="118" customFormat="1" ht="18" customHeight="1">
      <c r="A33" s="148" t="s">
        <v>70</v>
      </c>
      <c r="B33" s="163" t="s">
        <v>702</v>
      </c>
      <c r="C33" s="163"/>
      <c r="D33" s="163"/>
      <c r="E33" s="163"/>
      <c r="F33" s="169"/>
      <c r="G33" s="630"/>
      <c r="H33" s="631"/>
      <c r="I33" s="631"/>
      <c r="J33" s="164">
        <f>SUM(J34:J35)</f>
        <v>55692.71</v>
      </c>
      <c r="K33" s="364">
        <f>SUM(K34:K35)</f>
        <v>0.12909999999999999</v>
      </c>
      <c r="M33" s="120"/>
    </row>
    <row r="34" spans="1:13" s="119" customFormat="1">
      <c r="A34" s="220" t="s">
        <v>351</v>
      </c>
      <c r="B34" s="213">
        <f>'P1'!B34</f>
        <v>65001667</v>
      </c>
      <c r="C34" s="220" t="str">
        <f>Custos!G37</f>
        <v>mar/2026</v>
      </c>
      <c r="D34" s="225" t="str">
        <f>Custos!D37</f>
        <v>COPASA</v>
      </c>
      <c r="E34" s="406" t="str">
        <f>Custos!B37</f>
        <v>Equipe de topografia de campo</v>
      </c>
      <c r="F34" s="222">
        <f>Custos!J37</f>
        <v>58490.33</v>
      </c>
      <c r="G34" s="263" t="str">
        <f>Custos!H37</f>
        <v>mês</v>
      </c>
      <c r="H34" s="619">
        <f>'P1'!H34+'P2'!H34+'P3'!H34+'P4'!H34+'P5'!H34+'P6'!H34+P7a!H34+P7b!H34+'P8'!H34</f>
        <v>0.6</v>
      </c>
      <c r="I34" s="216">
        <f>'P1'!I34+'P2'!I34+'P3'!I34+'P4'!I34+'P5'!I34+'P6'!I34+P7a!I34+P7b!I34+'P8'!I34</f>
        <v>35094.199999999997</v>
      </c>
      <c r="J34" s="216">
        <f>'P1'!J34+'P2'!J34+'P3'!J34+'P4'!J34+'P5'!J34+'P6'!J34+P7a!J34+P7b!J34+'P8'!J34</f>
        <v>44569.63</v>
      </c>
      <c r="K34" s="228">
        <f t="shared" ref="K34:K35" si="0">ROUND(J34/$J$45,4)</f>
        <v>0.1033</v>
      </c>
      <c r="M34" s="120"/>
    </row>
    <row r="35" spans="1:13" s="119" customFormat="1">
      <c r="A35" s="220" t="s">
        <v>358</v>
      </c>
      <c r="B35" s="213">
        <f>'P1'!B35</f>
        <v>65001668</v>
      </c>
      <c r="C35" s="220" t="str">
        <f>Custos!G38</f>
        <v>mar/2026</v>
      </c>
      <c r="D35" s="225" t="str">
        <f>Custos!D38</f>
        <v>COPASA</v>
      </c>
      <c r="E35" s="406" t="str">
        <f>Custos!B38</f>
        <v>Equipe de topografia de escritório</v>
      </c>
      <c r="F35" s="222">
        <f>Custos!J38</f>
        <v>31279.74</v>
      </c>
      <c r="G35" s="263" t="str">
        <f>Custos!H38</f>
        <v>mês</v>
      </c>
      <c r="H35" s="619">
        <f>'P1'!H35+'P2'!H35+'P3'!H35+'P4'!H35+'P5'!H35+'P6'!H35+P7a!H35+P7b!H35+'P8'!H35</f>
        <v>0.28000000000000003</v>
      </c>
      <c r="I35" s="216">
        <f>'P1'!I35+'P2'!I35+'P3'!I35+'P4'!I35+'P5'!I35+'P6'!I35+P7a!I35+P7b!I35+'P8'!I35</f>
        <v>8758.33</v>
      </c>
      <c r="J35" s="216">
        <f>'P1'!J35+'P2'!J35+'P3'!J35+'P4'!J35+'P5'!J35+'P6'!J35+P7a!J35+P7b!J35+'P8'!J35</f>
        <v>11123.08</v>
      </c>
      <c r="K35" s="228">
        <f t="shared" si="0"/>
        <v>2.58E-2</v>
      </c>
      <c r="M35" s="120"/>
    </row>
    <row r="36" spans="1:13" ht="5.0999999999999996" customHeight="1">
      <c r="A36" s="220"/>
      <c r="B36" s="225"/>
      <c r="C36" s="225"/>
      <c r="D36" s="220"/>
      <c r="E36" s="165"/>
      <c r="F36" s="157"/>
      <c r="G36" s="214"/>
      <c r="H36" s="161"/>
      <c r="I36" s="151"/>
      <c r="J36" s="151"/>
      <c r="K36" s="183"/>
      <c r="M36" s="120"/>
    </row>
    <row r="37" spans="1:13" s="118" customFormat="1" ht="18" customHeight="1">
      <c r="A37" s="148" t="s">
        <v>71</v>
      </c>
      <c r="B37" s="149" t="s">
        <v>386</v>
      </c>
      <c r="C37" s="163"/>
      <c r="D37" s="163"/>
      <c r="E37" s="163"/>
      <c r="F37" s="169"/>
      <c r="G37" s="630"/>
      <c r="H37" s="631"/>
      <c r="I37" s="631"/>
      <c r="J37" s="164">
        <f>SUM(J38:J39)</f>
        <v>1608.4299999999998</v>
      </c>
      <c r="K37" s="364">
        <f>SUM(K38:K39)</f>
        <v>3.8000000000000004E-3</v>
      </c>
    </row>
    <row r="38" spans="1:13" s="119" customFormat="1">
      <c r="A38" s="225" t="s">
        <v>351</v>
      </c>
      <c r="B38" s="406">
        <f>Custos!E43</f>
        <v>65001114</v>
      </c>
      <c r="C38" s="225" t="str">
        <f>Custos!G43</f>
        <v>mar/2026</v>
      </c>
      <c r="D38" s="225" t="str">
        <f>Custos!D43</f>
        <v>COPASA</v>
      </c>
      <c r="E38" s="406" t="str">
        <f>Custos!B43</f>
        <v>Análise fisico-química da água</v>
      </c>
      <c r="F38" s="222">
        <f>Custos!J43</f>
        <v>453.96</v>
      </c>
      <c r="G38" s="214" t="str">
        <f>Custos!H43</f>
        <v>unidade</v>
      </c>
      <c r="H38" s="633">
        <f>'P1'!H38+'P2'!H38+'P3'!H38+'P4'!H38+'P5'!H38+'P6'!H38+P7a!H38+P7b!H38+'P8'!H38</f>
        <v>2</v>
      </c>
      <c r="I38" s="216">
        <f>'P1'!I38+'P2'!I38+'P3'!I38+'P4'!I38+'P5'!I38+'P6'!I38+P7a!I38+P7b!I38+'P8'!I38</f>
        <v>907.92</v>
      </c>
      <c r="J38" s="216">
        <f>'P1'!J38+'P2'!J38+'P3'!J38+'P4'!J38+'P5'!J38+'P6'!J38+P7a!J38+P7b!J38+'P8'!J38</f>
        <v>1153.06</v>
      </c>
      <c r="K38" s="228">
        <f t="shared" ref="K38:K39" si="1">ROUND(J38/$J$45,4)</f>
        <v>2.7000000000000001E-3</v>
      </c>
    </row>
    <row r="39" spans="1:13" s="119" customFormat="1">
      <c r="A39" s="225" t="s">
        <v>358</v>
      </c>
      <c r="B39" s="406">
        <f>Custos!E44</f>
        <v>65001115</v>
      </c>
      <c r="C39" s="225" t="str">
        <f>Custos!G44</f>
        <v>mar/2026</v>
      </c>
      <c r="D39" s="225" t="str">
        <f>Custos!D44</f>
        <v>COPASA</v>
      </c>
      <c r="E39" s="406" t="str">
        <f>Custos!B44</f>
        <v>Analise bactereologica da água</v>
      </c>
      <c r="F39" s="222">
        <f>Custos!J44</f>
        <v>179.28</v>
      </c>
      <c r="G39" s="214" t="str">
        <f>Custos!H44</f>
        <v>unidade</v>
      </c>
      <c r="H39" s="633">
        <f>'P1'!H39+'P2'!H39+'P3'!H39+'P4'!H39+'P5'!H39+'P6'!H39+P7a!H39+P7b!H39+'P8'!H39</f>
        <v>2</v>
      </c>
      <c r="I39" s="216">
        <f>'P1'!I39+'P2'!I39+'P3'!I39+'P4'!I39+'P5'!I39+'P6'!I39+P7a!I39+P7b!I39+'P8'!I39</f>
        <v>358.56</v>
      </c>
      <c r="J39" s="216">
        <f>'P1'!J39+'P2'!J39+'P3'!J39+'P4'!J39+'P5'!J39+'P6'!J39+P7a!J39+P7b!J39+'P8'!J39</f>
        <v>455.37</v>
      </c>
      <c r="K39" s="228">
        <f t="shared" si="1"/>
        <v>1.1000000000000001E-3</v>
      </c>
    </row>
    <row r="40" spans="1:13" s="118" customFormat="1" ht="18" customHeight="1">
      <c r="A40" s="354" t="s">
        <v>681</v>
      </c>
      <c r="B40" s="355" t="s">
        <v>682</v>
      </c>
      <c r="C40" s="355"/>
      <c r="D40" s="355"/>
      <c r="E40" s="174"/>
      <c r="F40" s="625"/>
      <c r="G40" s="626"/>
      <c r="H40" s="627"/>
      <c r="I40" s="627"/>
      <c r="J40" s="360">
        <f>J42</f>
        <v>16158.810000000001</v>
      </c>
      <c r="K40" s="349">
        <f>J40/$J$45</f>
        <v>3.7439589461351064E-2</v>
      </c>
      <c r="L40" s="116"/>
      <c r="M40" s="120"/>
    </row>
    <row r="41" spans="1:13" ht="5.0999999999999996" customHeight="1">
      <c r="A41" s="356"/>
      <c r="B41" s="160"/>
      <c r="C41" s="160"/>
      <c r="D41" s="356"/>
      <c r="E41" s="165"/>
      <c r="F41" s="157"/>
      <c r="G41" s="151"/>
      <c r="H41" s="161"/>
      <c r="I41" s="151"/>
      <c r="J41" s="151"/>
      <c r="K41" s="183"/>
      <c r="M41" s="120"/>
    </row>
    <row r="42" spans="1:13" s="118" customFormat="1" ht="18" customHeight="1">
      <c r="A42" s="148" t="s">
        <v>81</v>
      </c>
      <c r="B42" s="149" t="s">
        <v>385</v>
      </c>
      <c r="C42" s="149"/>
      <c r="D42" s="149"/>
      <c r="E42" s="149"/>
      <c r="F42" s="169"/>
      <c r="G42" s="630"/>
      <c r="H42" s="631"/>
      <c r="I42" s="631"/>
      <c r="J42" s="169">
        <f>SUM(J43:J43)</f>
        <v>16158.810000000001</v>
      </c>
      <c r="K42" s="363">
        <f>SUM(K43:K43)</f>
        <v>3.7400000000000003E-2</v>
      </c>
      <c r="L42" s="116"/>
      <c r="M42" s="120"/>
    </row>
    <row r="43" spans="1:13" s="119" customFormat="1" ht="96.6">
      <c r="A43" s="220" t="s">
        <v>351</v>
      </c>
      <c r="B43" s="225" t="str">
        <f>Custos!F46</f>
        <v>-</v>
      </c>
      <c r="C43" s="225" t="str">
        <f>Custos!G46</f>
        <v>jan/2026</v>
      </c>
      <c r="D43" s="225" t="str">
        <f>Custos!D46</f>
        <v>SICOR-MG</v>
      </c>
      <c r="E43" s="221" t="str">
        <f>Custos!B46</f>
        <v>Veículo tipo picape leve, com capacidade para cinco (5) lugares, obedecidos os seguintes requisitos mínimos: ter no máximo um (1) ano de uso, até 20.000km rodados, potência mínima de 100cv, direção assistida, ar condicionado, desembaçador de vidros, rádio am/fm, emplacado, com seguro total, inclusive manutenção e combustível (custo variável)</v>
      </c>
      <c r="F43" s="222">
        <f>Custos!J46</f>
        <v>1.02</v>
      </c>
      <c r="G43" s="263" t="str">
        <f>'P1'!G43</f>
        <v>R$/dia</v>
      </c>
      <c r="H43" s="619">
        <f>'P1'!H43+'P2'!H43+'P3'!H43+'P4'!H43+'P5'!H43+'P6'!H43+P7a!H43+P7b!H43+'P8'!H43</f>
        <v>12474</v>
      </c>
      <c r="I43" s="634">
        <f>'P1'!I43+'P2'!I43+'P3'!I43+'P4'!I43+'P5'!I43+'P6'!I43+P7a!I43+P7b!I43+'P8'!I43</f>
        <v>12723.48</v>
      </c>
      <c r="J43" s="216">
        <f>'P1'!J43+'P2'!J43+'P3'!J43+'P4'!J43+'P5'!J43+'P6'!J43+P7a!J43+P7b!J43+'P8'!J43</f>
        <v>16158.810000000001</v>
      </c>
      <c r="K43" s="228">
        <f>ROUND(J43/$J$45,4)</f>
        <v>3.7400000000000003E-2</v>
      </c>
      <c r="M43" s="120"/>
    </row>
    <row r="44" spans="1:13" ht="6" customHeight="1">
      <c r="A44" s="143"/>
      <c r="B44" s="152"/>
      <c r="C44" s="152"/>
      <c r="D44" s="152"/>
      <c r="E44" s="166"/>
      <c r="F44" s="167"/>
      <c r="G44" s="177"/>
      <c r="H44" s="428"/>
      <c r="I44" s="155"/>
      <c r="J44" s="168"/>
      <c r="K44" s="185"/>
      <c r="M44" s="120"/>
    </row>
    <row r="45" spans="1:13" ht="18" customHeight="1">
      <c r="A45" s="780" t="s">
        <v>684</v>
      </c>
      <c r="B45" s="780"/>
      <c r="C45" s="780"/>
      <c r="D45" s="780"/>
      <c r="E45" s="780"/>
      <c r="F45" s="357"/>
      <c r="G45" s="358"/>
      <c r="H45" s="429"/>
      <c r="I45" s="357" t="s">
        <v>685</v>
      </c>
      <c r="J45" s="357">
        <f>J40+J21+J14+J7</f>
        <v>431596.88</v>
      </c>
      <c r="K45" s="362">
        <f>K7+K14+K21+K40</f>
        <v>1</v>
      </c>
      <c r="L45" s="553"/>
      <c r="M45" s="120"/>
    </row>
    <row r="46" spans="1:13" ht="6" customHeight="1">
      <c r="A46" s="122"/>
      <c r="B46" s="78"/>
      <c r="C46" s="78"/>
      <c r="D46" s="123"/>
      <c r="E46" s="124"/>
      <c r="F46" s="129"/>
      <c r="G46" s="123"/>
      <c r="H46" s="430"/>
      <c r="I46" s="125"/>
      <c r="J46" s="117"/>
      <c r="K46" s="232"/>
      <c r="M46" s="118"/>
    </row>
    <row r="47" spans="1:13" ht="20.100000000000001" customHeight="1">
      <c r="A47" s="144" t="s">
        <v>297</v>
      </c>
      <c r="B47" s="145"/>
      <c r="C47" s="145"/>
      <c r="D47" s="145"/>
      <c r="E47" s="145"/>
      <c r="F47" s="146"/>
      <c r="G47" s="178"/>
      <c r="H47" s="431"/>
      <c r="I47" s="145"/>
      <c r="J47" s="145"/>
      <c r="K47" s="146"/>
      <c r="M47" s="118"/>
    </row>
    <row r="48" spans="1:13" ht="15.6" customHeight="1">
      <c r="A48" s="147" t="s">
        <v>686</v>
      </c>
      <c r="B48" s="782" t="s">
        <v>687</v>
      </c>
      <c r="C48" s="782"/>
      <c r="D48" s="782"/>
      <c r="E48" s="782"/>
      <c r="F48" s="782"/>
      <c r="G48" s="782"/>
      <c r="H48" s="782"/>
      <c r="I48" s="782"/>
      <c r="J48" s="782"/>
      <c r="K48" s="782"/>
      <c r="M48" s="118"/>
    </row>
    <row r="49" spans="1:13" ht="13.15" customHeight="1">
      <c r="A49" s="147" t="s">
        <v>688</v>
      </c>
      <c r="B49" s="781" t="s">
        <v>689</v>
      </c>
      <c r="C49" s="781"/>
      <c r="D49" s="781"/>
      <c r="E49" s="781"/>
      <c r="F49" s="781"/>
      <c r="G49" s="781"/>
      <c r="H49" s="781"/>
      <c r="I49" s="781"/>
      <c r="J49" s="781"/>
      <c r="K49" s="781"/>
      <c r="M49" s="118"/>
    </row>
    <row r="50" spans="1:13" ht="13.15" customHeight="1">
      <c r="A50" s="147"/>
      <c r="B50" s="280"/>
      <c r="C50" s="280"/>
      <c r="D50" s="280"/>
      <c r="E50" s="280"/>
      <c r="F50" s="280"/>
      <c r="G50" s="280"/>
      <c r="H50" s="432"/>
      <c r="I50" s="280"/>
      <c r="J50" s="280"/>
      <c r="K50" s="280"/>
      <c r="M50" s="118"/>
    </row>
    <row r="51" spans="1:13">
      <c r="A51" s="786"/>
      <c r="B51" s="786"/>
      <c r="C51" s="786"/>
      <c r="D51" s="786"/>
      <c r="F51" s="786"/>
      <c r="G51" s="786"/>
      <c r="H51" s="786"/>
      <c r="I51" s="786"/>
    </row>
    <row r="52" spans="1:13">
      <c r="A52" s="786"/>
      <c r="B52" s="786"/>
      <c r="C52" s="786"/>
      <c r="D52" s="786"/>
      <c r="F52" s="786"/>
      <c r="G52" s="786"/>
      <c r="H52" s="786"/>
      <c r="I52" s="786"/>
    </row>
  </sheetData>
  <mergeCells count="9">
    <mergeCell ref="C1:K1"/>
    <mergeCell ref="A51:D51"/>
    <mergeCell ref="A52:D52"/>
    <mergeCell ref="F51:I51"/>
    <mergeCell ref="F52:I52"/>
    <mergeCell ref="F6:G6"/>
    <mergeCell ref="A45:E45"/>
    <mergeCell ref="B48:K48"/>
    <mergeCell ref="B49:K49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1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8" tint="-0.249977111117893"/>
    <pageSetUpPr fitToPage="1"/>
  </sheetPr>
  <dimension ref="A1:L18"/>
  <sheetViews>
    <sheetView showGridLines="0" view="pageBreakPreview" topLeftCell="A6" zoomScale="80" zoomScaleNormal="80" zoomScaleSheetLayoutView="80" workbookViewId="0">
      <selection activeCell="L13" sqref="L13"/>
    </sheetView>
  </sheetViews>
  <sheetFormatPr defaultColWidth="9.140625" defaultRowHeight="15.6"/>
  <cols>
    <col min="1" max="1" width="13.42578125" style="108" customWidth="1"/>
    <col min="2" max="2" width="42.140625" style="186" customWidth="1"/>
    <col min="3" max="3" width="35.140625" style="186" customWidth="1"/>
    <col min="4" max="4" width="12" style="186" customWidth="1"/>
    <col min="5" max="5" width="14.28515625" style="108" bestFit="1" customWidth="1"/>
    <col min="6" max="6" width="15.7109375" customWidth="1"/>
    <col min="7" max="7" width="9.140625" customWidth="1"/>
    <col min="8" max="8" width="11.140625" customWidth="1"/>
    <col min="9" max="10" width="9.140625" customWidth="1"/>
    <col min="11" max="11" width="19.7109375" customWidth="1"/>
    <col min="12" max="12" width="20.140625" customWidth="1"/>
    <col min="13" max="15" width="19" style="108" customWidth="1"/>
    <col min="16" max="16384" width="9.140625" style="108"/>
  </cols>
  <sheetData>
    <row r="1" spans="1:12" ht="32.450000000000003" customHeight="1">
      <c r="B1" s="787" t="str">
        <f>'P1'!C1</f>
        <v xml:space="preserve">ORÇAMENTO PARA ELABORAÇÃO DE PROJETOS DE SISTEMA DE ESGOTAMENTO SANITÁRIO </v>
      </c>
      <c r="C1" s="788"/>
      <c r="D1" s="788"/>
      <c r="E1" s="788"/>
    </row>
    <row r="2" spans="1:12">
      <c r="A2" s="60"/>
      <c r="B2" s="233"/>
      <c r="C2" s="233"/>
      <c r="D2" s="233"/>
      <c r="E2" s="60"/>
    </row>
    <row r="3" spans="1:12" ht="22.5" customHeight="1">
      <c r="A3" s="59" t="s">
        <v>703</v>
      </c>
      <c r="B3" s="64"/>
      <c r="D3" s="62" t="s">
        <v>143</v>
      </c>
      <c r="E3" s="107">
        <f ca="1">'Dados Básicos do município'!H4</f>
        <v>46170</v>
      </c>
    </row>
    <row r="4" spans="1:12" ht="22.5" customHeight="1">
      <c r="A4" s="59" t="s">
        <v>144</v>
      </c>
      <c r="B4" s="64" t="str">
        <f>'Dados Básicos do município'!B5</f>
        <v>CBH-PIRANGA</v>
      </c>
      <c r="C4" s="64"/>
      <c r="D4" s="64"/>
      <c r="E4" s="60"/>
    </row>
    <row r="5" spans="1:12" ht="22.5" customHeight="1">
      <c r="A5" s="59" t="s">
        <v>145</v>
      </c>
      <c r="B5" s="64" t="str">
        <f>'Dados Básicos do município'!B6</f>
        <v>São Miguel do Anta/MG</v>
      </c>
      <c r="C5" s="64"/>
      <c r="D5" s="64"/>
      <c r="E5" s="60"/>
    </row>
    <row r="7" spans="1:12" s="179" customFormat="1" ht="33.6" customHeight="1">
      <c r="A7" s="789" t="s">
        <v>412</v>
      </c>
      <c r="B7" s="789"/>
      <c r="C7" s="789"/>
      <c r="D7" s="408" t="s">
        <v>704</v>
      </c>
      <c r="E7" s="409" t="s">
        <v>343</v>
      </c>
      <c r="F7"/>
      <c r="G7"/>
      <c r="H7"/>
      <c r="I7"/>
      <c r="J7"/>
      <c r="K7"/>
      <c r="L7"/>
    </row>
    <row r="8" spans="1:12" ht="22.5" customHeight="1">
      <c r="A8" s="229" t="s">
        <v>669</v>
      </c>
      <c r="B8" s="234" t="str">
        <f>Cronograma!B12</f>
        <v>Plano de Trabalho</v>
      </c>
      <c r="C8" s="236"/>
      <c r="D8" s="380">
        <f>E8/$E$17</f>
        <v>3.1063083681235133E-2</v>
      </c>
      <c r="E8" s="373">
        <f>'P1'!J45</f>
        <v>13406.73</v>
      </c>
    </row>
    <row r="9" spans="1:12" ht="22.5" customHeight="1">
      <c r="A9" s="229" t="s">
        <v>690</v>
      </c>
      <c r="B9" s="234" t="str">
        <f>Cronograma!B13</f>
        <v xml:space="preserve">Cadastro Técnico </v>
      </c>
      <c r="C9" s="236"/>
      <c r="D9" s="380">
        <f>E9/$E$17</f>
        <v>0.16156803543158141</v>
      </c>
      <c r="E9" s="373">
        <f>'P2'!J45</f>
        <v>69732.259999999995</v>
      </c>
    </row>
    <row r="10" spans="1:12" ht="22.5" customHeight="1">
      <c r="A10" s="229" t="s">
        <v>691</v>
      </c>
      <c r="B10" s="234" t="str">
        <f>Cronograma!B14</f>
        <v>Estudos Topográficos</v>
      </c>
      <c r="C10" s="236"/>
      <c r="D10" s="380">
        <f>E10/$E$17</f>
        <v>9.1709745445796534E-2</v>
      </c>
      <c r="E10" s="373">
        <f>'P3'!J45</f>
        <v>39581.64</v>
      </c>
    </row>
    <row r="11" spans="1:12" ht="22.5" customHeight="1">
      <c r="A11" s="229" t="s">
        <v>694</v>
      </c>
      <c r="B11" s="234" t="str">
        <f>Cronograma!B15</f>
        <v>Estudo de Concepção</v>
      </c>
      <c r="C11" s="236"/>
      <c r="D11" s="380">
        <f t="shared" ref="D11" si="0">E11/$E$17</f>
        <v>9.8585304879868441E-2</v>
      </c>
      <c r="E11" s="373">
        <f>'P4'!J45</f>
        <v>42549.11</v>
      </c>
    </row>
    <row r="12" spans="1:12" ht="22.5" customHeight="1">
      <c r="A12" s="229" t="s">
        <v>695</v>
      </c>
      <c r="B12" s="234" t="str">
        <f>Cronograma!B17</f>
        <v>Projeto Básico</v>
      </c>
      <c r="C12" s="236"/>
      <c r="D12" s="380">
        <f t="shared" ref="D12:D16" si="1">E12/$E$17</f>
        <v>0.2157178708057389</v>
      </c>
      <c r="E12" s="373">
        <f>'P5'!J45</f>
        <v>93103.16</v>
      </c>
    </row>
    <row r="13" spans="1:12" ht="22.5" customHeight="1">
      <c r="A13" s="229" t="s">
        <v>697</v>
      </c>
      <c r="B13" s="234" t="str">
        <f>Cronograma!B18</f>
        <v>Estudos Geotécnicos</v>
      </c>
      <c r="C13" s="236"/>
      <c r="D13" s="380">
        <f t="shared" si="1"/>
        <v>9.7439420785432912E-2</v>
      </c>
      <c r="E13" s="373">
        <f>'P6'!J45</f>
        <v>42054.55</v>
      </c>
    </row>
    <row r="14" spans="1:12" ht="22.5" customHeight="1">
      <c r="A14" s="229" t="s">
        <v>705</v>
      </c>
      <c r="B14" s="234" t="str">
        <f>Cronograma!B16</f>
        <v>Estudos Ambientais Preliminares</v>
      </c>
      <c r="C14" s="236"/>
      <c r="D14" s="380">
        <f t="shared" si="1"/>
        <v>3.2045875771854505E-2</v>
      </c>
      <c r="E14" s="373">
        <f>P7a!J45</f>
        <v>13830.9</v>
      </c>
    </row>
    <row r="15" spans="1:12" ht="22.5" customHeight="1">
      <c r="A15" s="229" t="s">
        <v>706</v>
      </c>
      <c r="B15" s="234" t="str">
        <f>Cronograma!B19</f>
        <v>Estudos Ambientais Consolidados</v>
      </c>
      <c r="C15" s="236"/>
      <c r="D15" s="380">
        <f t="shared" si="1"/>
        <v>6.5615233363132741E-2</v>
      </c>
      <c r="E15" s="373">
        <f>P7b!J45</f>
        <v>28319.33</v>
      </c>
    </row>
    <row r="16" spans="1:12" ht="22.5" customHeight="1">
      <c r="A16" s="229" t="s">
        <v>700</v>
      </c>
      <c r="B16" s="234" t="str">
        <f>Cronograma!B20</f>
        <v>Projeto Executivo</v>
      </c>
      <c r="C16" s="237"/>
      <c r="D16" s="381">
        <f t="shared" si="1"/>
        <v>0.2062554298353593</v>
      </c>
      <c r="E16" s="373">
        <f>'P8'!J45</f>
        <v>89019.199999999997</v>
      </c>
    </row>
    <row r="17" spans="1:5" ht="22.5" customHeight="1">
      <c r="A17" s="790"/>
      <c r="B17" s="790"/>
      <c r="C17" s="410" t="s">
        <v>646</v>
      </c>
      <c r="D17" s="411">
        <f>SUM(D8:D16)</f>
        <v>0.99999999999999967</v>
      </c>
      <c r="E17" s="412">
        <f>SUM(E8:E16)</f>
        <v>431596.88000000006</v>
      </c>
    </row>
    <row r="18" spans="1:5" ht="8.25" customHeight="1"/>
  </sheetData>
  <mergeCells count="3">
    <mergeCell ref="B1:E1"/>
    <mergeCell ref="A7:C7"/>
    <mergeCell ref="A17:B1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9" fitToHeight="0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8" tint="-0.249977111117893"/>
    <pageSetUpPr fitToPage="1"/>
  </sheetPr>
  <dimension ref="A1:AP34"/>
  <sheetViews>
    <sheetView showGridLines="0" view="pageBreakPreview" zoomScaleNormal="70" zoomScaleSheetLayoutView="100" workbookViewId="0">
      <selection activeCell="Q25" sqref="Q25"/>
    </sheetView>
  </sheetViews>
  <sheetFormatPr defaultColWidth="9.140625" defaultRowHeight="15.6"/>
  <cols>
    <col min="1" max="1" width="13.42578125" style="187" customWidth="1"/>
    <col min="2" max="2" width="4.28515625" style="187" customWidth="1"/>
    <col min="3" max="3" width="28.85546875" style="187" customWidth="1"/>
    <col min="4" max="4" width="15.140625" style="187" customWidth="1"/>
    <col min="5" max="5" width="12.7109375" style="187" customWidth="1"/>
    <col min="6" max="6" width="4.28515625" style="187" customWidth="1"/>
    <col min="7" max="7" width="3.28515625" style="187" customWidth="1"/>
    <col min="8" max="8" width="4.140625" style="187" customWidth="1"/>
    <col min="9" max="9" width="4.28515625" style="187" customWidth="1"/>
    <col min="10" max="10" width="3.7109375" style="187" customWidth="1"/>
    <col min="11" max="11" width="3.85546875" style="187" customWidth="1"/>
    <col min="12" max="12" width="3.42578125" style="187" customWidth="1"/>
    <col min="13" max="13" width="3.85546875" style="187" customWidth="1"/>
    <col min="14" max="14" width="4.42578125" style="187" customWidth="1"/>
    <col min="15" max="15" width="3.5703125" style="187" customWidth="1"/>
    <col min="16" max="16" width="4" style="187" customWidth="1"/>
    <col min="17" max="17" width="4.42578125" style="187" customWidth="1"/>
    <col min="18" max="18" width="4.28515625" style="187" customWidth="1"/>
    <col min="19" max="19" width="4.28515625" customWidth="1"/>
    <col min="20" max="20" width="3.5703125" customWidth="1"/>
    <col min="21" max="21" width="4.42578125" customWidth="1"/>
    <col min="22" max="22" width="3.42578125" customWidth="1"/>
    <col min="23" max="23" width="4.140625" customWidth="1"/>
    <col min="24" max="24" width="4.42578125" customWidth="1"/>
    <col min="25" max="25" width="4.140625" customWidth="1"/>
    <col min="26" max="26" width="4" customWidth="1"/>
    <col min="27" max="27" width="3.85546875" customWidth="1"/>
    <col min="28" max="28" width="4.42578125" customWidth="1"/>
    <col min="29" max="29" width="3.7109375" customWidth="1"/>
    <col min="30" max="30" width="4.140625" customWidth="1"/>
    <col min="31" max="31" width="3.85546875" customWidth="1"/>
    <col min="32" max="33" width="4.140625" customWidth="1"/>
    <col min="34" max="34" width="3.85546875" customWidth="1"/>
    <col min="35" max="35" width="3.7109375" customWidth="1"/>
    <col min="36" max="36" width="4.28515625" customWidth="1"/>
    <col min="37" max="37" width="4.85546875" customWidth="1"/>
    <col min="38" max="39" width="3.7109375" customWidth="1"/>
    <col min="40" max="40" width="4.42578125" customWidth="1"/>
    <col min="41" max="41" width="4.140625" customWidth="1"/>
    <col min="42" max="42" width="5.28515625" customWidth="1"/>
  </cols>
  <sheetData>
    <row r="1" spans="1:42" ht="18" customHeight="1">
      <c r="A1" s="778" t="s">
        <v>707</v>
      </c>
      <c r="B1" s="778"/>
      <c r="C1" s="778"/>
      <c r="D1" s="778"/>
      <c r="E1" s="778"/>
      <c r="F1" s="778"/>
      <c r="G1" s="778"/>
      <c r="H1" s="778"/>
      <c r="I1" s="778"/>
      <c r="J1" s="778"/>
      <c r="K1" s="778"/>
      <c r="L1" s="778"/>
      <c r="M1" s="778"/>
      <c r="N1" s="778"/>
      <c r="O1" s="778"/>
      <c r="P1" s="778"/>
      <c r="Q1" s="778"/>
      <c r="R1" s="778"/>
      <c r="S1" s="778"/>
      <c r="T1" s="778"/>
      <c r="U1" s="778"/>
      <c r="V1" s="778"/>
      <c r="W1" s="778"/>
      <c r="X1" s="778"/>
      <c r="Y1" s="778"/>
      <c r="Z1" s="778"/>
      <c r="AA1" s="778"/>
      <c r="AB1" s="778"/>
      <c r="AC1" s="778"/>
      <c r="AD1" s="778"/>
      <c r="AE1" s="778"/>
      <c r="AF1" s="778"/>
      <c r="AG1" s="778"/>
      <c r="AH1" s="778"/>
      <c r="AI1" s="778"/>
      <c r="AJ1" s="778"/>
    </row>
    <row r="2" spans="1:42" ht="18" customHeight="1">
      <c r="A2" s="778"/>
      <c r="B2" s="778"/>
      <c r="C2" s="778"/>
      <c r="D2" s="778"/>
      <c r="E2" s="778"/>
      <c r="F2" s="778"/>
      <c r="G2" s="778"/>
      <c r="H2" s="778"/>
      <c r="I2" s="778"/>
      <c r="J2" s="778"/>
      <c r="K2" s="778"/>
      <c r="L2" s="778"/>
      <c r="M2" s="778"/>
      <c r="N2" s="778"/>
      <c r="O2" s="778"/>
      <c r="P2" s="778"/>
      <c r="Q2" s="778"/>
      <c r="R2" s="778"/>
      <c r="S2" s="778"/>
      <c r="T2" s="778"/>
      <c r="U2" s="778"/>
      <c r="V2" s="778"/>
      <c r="W2" s="778"/>
      <c r="X2" s="778"/>
      <c r="Y2" s="778"/>
      <c r="Z2" s="778"/>
      <c r="AA2" s="778"/>
      <c r="AB2" s="778"/>
      <c r="AC2" s="778"/>
      <c r="AD2" s="778"/>
      <c r="AE2" s="778"/>
      <c r="AF2" s="778"/>
      <c r="AG2" s="778"/>
      <c r="AH2" s="778"/>
      <c r="AI2" s="778"/>
      <c r="AJ2" s="778"/>
    </row>
    <row r="3" spans="1:42" ht="15" customHeight="1">
      <c r="A3" s="79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2"/>
      <c r="N3" s="72"/>
      <c r="O3" s="72"/>
      <c r="P3" s="72"/>
      <c r="Q3" s="72"/>
      <c r="R3" s="72"/>
    </row>
    <row r="4" spans="1:42" ht="18" customHeight="1">
      <c r="A4" s="78" t="s">
        <v>707</v>
      </c>
      <c r="B4" s="78"/>
      <c r="C4" s="81"/>
      <c r="D4" s="53"/>
      <c r="E4" s="79"/>
      <c r="F4" s="79"/>
      <c r="G4" s="79"/>
      <c r="H4" s="79"/>
      <c r="I4" s="79"/>
      <c r="J4" s="79"/>
    </row>
    <row r="5" spans="1:42" ht="18" customHeight="1">
      <c r="A5" s="78" t="s">
        <v>144</v>
      </c>
      <c r="B5" s="78"/>
      <c r="C5" s="81" t="str">
        <f>'Dados Básicos do município'!B5</f>
        <v>CBH-PIRANGA</v>
      </c>
      <c r="D5" s="53"/>
      <c r="E5" s="79"/>
      <c r="F5" s="79"/>
      <c r="G5" s="79"/>
      <c r="H5" s="79"/>
      <c r="I5" s="79"/>
      <c r="J5" s="79"/>
      <c r="K5" s="53"/>
      <c r="L5" s="53"/>
      <c r="M5" s="72"/>
      <c r="N5" s="72"/>
      <c r="O5" s="72"/>
      <c r="P5" s="53"/>
      <c r="Q5" s="53"/>
      <c r="R5" s="53"/>
    </row>
    <row r="6" spans="1:42" ht="18" customHeight="1">
      <c r="A6" s="78" t="s">
        <v>145</v>
      </c>
      <c r="B6" s="78"/>
      <c r="C6" s="81" t="str">
        <f>'Dados Básicos do município'!B6</f>
        <v>São Miguel do Anta/MG</v>
      </c>
      <c r="D6" s="53"/>
      <c r="E6" s="79"/>
      <c r="F6" s="79"/>
      <c r="G6" s="79"/>
      <c r="H6" s="79"/>
      <c r="I6" s="79"/>
      <c r="J6" s="79"/>
      <c r="K6" s="116"/>
      <c r="L6" s="117"/>
      <c r="M6" s="72"/>
      <c r="N6" s="72"/>
      <c r="O6" s="72"/>
      <c r="P6" s="72"/>
      <c r="Q6" s="53"/>
      <c r="R6" s="53"/>
    </row>
    <row r="7" spans="1:42" ht="15" customHeight="1">
      <c r="A7" s="53"/>
      <c r="B7" s="53"/>
      <c r="C7" s="723"/>
      <c r="D7" s="723"/>
      <c r="E7" s="723"/>
      <c r="F7" s="723"/>
      <c r="G7" s="723"/>
      <c r="H7" s="723"/>
      <c r="I7" s="723"/>
      <c r="J7" s="723"/>
      <c r="K7" s="723"/>
      <c r="L7" s="723"/>
      <c r="M7" s="723"/>
      <c r="N7" s="723"/>
      <c r="O7" s="723"/>
      <c r="P7" s="723"/>
      <c r="Q7" s="723"/>
      <c r="R7" s="723"/>
    </row>
    <row r="8" spans="1:42" ht="19.5" customHeight="1">
      <c r="A8" s="794" t="s">
        <v>708</v>
      </c>
      <c r="B8" s="794"/>
      <c r="C8" s="794"/>
      <c r="D8" s="794"/>
      <c r="E8" s="794"/>
      <c r="F8" s="794"/>
      <c r="G8" s="794"/>
      <c r="H8" s="794"/>
      <c r="I8" s="794"/>
      <c r="J8" s="794"/>
      <c r="K8" s="794"/>
      <c r="L8" s="794"/>
      <c r="M8" s="794"/>
      <c r="N8" s="794"/>
      <c r="O8" s="794"/>
      <c r="P8" s="794"/>
      <c r="Q8" s="794"/>
      <c r="R8" s="794"/>
      <c r="S8" s="794"/>
      <c r="T8" s="794"/>
      <c r="U8" s="794"/>
      <c r="V8" s="794"/>
      <c r="W8" s="794"/>
      <c r="X8" s="794"/>
      <c r="Y8" s="794"/>
      <c r="Z8" s="794"/>
      <c r="AA8" s="794"/>
      <c r="AB8" s="794"/>
      <c r="AC8" s="794"/>
      <c r="AD8" s="794"/>
      <c r="AE8" s="794"/>
      <c r="AF8" s="794"/>
      <c r="AG8" s="794"/>
      <c r="AH8" s="794"/>
      <c r="AI8" s="794"/>
      <c r="AJ8" s="794"/>
      <c r="AK8" s="794"/>
      <c r="AL8" s="794"/>
      <c r="AM8" s="794"/>
      <c r="AN8" s="794"/>
      <c r="AO8" s="794"/>
      <c r="AP8" s="794"/>
    </row>
    <row r="9" spans="1:42" ht="19.5" customHeight="1">
      <c r="A9" s="792" t="s">
        <v>709</v>
      </c>
      <c r="B9" s="791" t="s">
        <v>191</v>
      </c>
      <c r="C9" s="793"/>
      <c r="D9" s="801" t="s">
        <v>710</v>
      </c>
      <c r="E9" s="799" t="s">
        <v>175</v>
      </c>
      <c r="F9" s="795" t="s">
        <v>344</v>
      </c>
      <c r="G9" s="796"/>
      <c r="H9" s="796"/>
      <c r="I9" s="796"/>
      <c r="J9" s="796"/>
      <c r="K9" s="796"/>
      <c r="L9" s="796"/>
      <c r="M9" s="796"/>
      <c r="N9" s="796"/>
      <c r="O9" s="796"/>
      <c r="P9" s="796"/>
      <c r="Q9" s="796"/>
      <c r="R9" s="796"/>
      <c r="S9" s="796"/>
      <c r="T9" s="796"/>
      <c r="U9" s="796"/>
      <c r="V9" s="796"/>
      <c r="W9" s="796"/>
      <c r="X9" s="796"/>
      <c r="Y9" s="796"/>
      <c r="Z9" s="796"/>
      <c r="AA9" s="796"/>
      <c r="AB9" s="796"/>
      <c r="AC9" s="796"/>
      <c r="AD9" s="796"/>
      <c r="AE9" s="796"/>
      <c r="AF9" s="796"/>
      <c r="AG9" s="796"/>
      <c r="AH9" s="796"/>
      <c r="AI9" s="796"/>
      <c r="AJ9" s="796"/>
      <c r="AK9" s="796"/>
      <c r="AL9" s="796"/>
      <c r="AM9" s="796"/>
      <c r="AN9" s="796"/>
      <c r="AO9" s="796"/>
      <c r="AP9" s="796"/>
    </row>
    <row r="10" spans="1:42" ht="19.5" customHeight="1">
      <c r="A10" s="792"/>
      <c r="B10" s="791"/>
      <c r="C10" s="793"/>
      <c r="D10" s="801"/>
      <c r="E10" s="795"/>
      <c r="F10" s="372" t="s">
        <v>376</v>
      </c>
      <c r="G10" s="791">
        <v>1</v>
      </c>
      <c r="H10" s="792"/>
      <c r="I10" s="792"/>
      <c r="J10" s="792"/>
      <c r="K10" s="792"/>
      <c r="L10" s="793"/>
      <c r="M10" s="791">
        <v>2</v>
      </c>
      <c r="N10" s="792"/>
      <c r="O10" s="792"/>
      <c r="P10" s="792"/>
      <c r="Q10" s="792"/>
      <c r="R10" s="793"/>
      <c r="S10" s="791">
        <v>3</v>
      </c>
      <c r="T10" s="792"/>
      <c r="U10" s="792"/>
      <c r="V10" s="792"/>
      <c r="W10" s="792"/>
      <c r="X10" s="793"/>
      <c r="Y10" s="791">
        <v>4</v>
      </c>
      <c r="Z10" s="792"/>
      <c r="AA10" s="792"/>
      <c r="AB10" s="792"/>
      <c r="AC10" s="792"/>
      <c r="AD10" s="793"/>
      <c r="AE10" s="791">
        <v>5</v>
      </c>
      <c r="AF10" s="792"/>
      <c r="AG10" s="792"/>
      <c r="AH10" s="792"/>
      <c r="AI10" s="792"/>
      <c r="AJ10" s="793"/>
      <c r="AK10" s="791">
        <v>6</v>
      </c>
      <c r="AL10" s="792"/>
      <c r="AM10" s="792"/>
      <c r="AN10" s="792"/>
      <c r="AO10" s="792"/>
      <c r="AP10" s="793"/>
    </row>
    <row r="11" spans="1:42" ht="27" customHeight="1">
      <c r="A11" s="798"/>
      <c r="B11" s="799"/>
      <c r="C11" s="800"/>
      <c r="D11" s="385" t="s">
        <v>685</v>
      </c>
      <c r="E11" s="385" t="s">
        <v>234</v>
      </c>
      <c r="F11" s="238" t="s">
        <v>376</v>
      </c>
      <c r="G11" s="456">
        <v>5</v>
      </c>
      <c r="H11" s="456">
        <v>10</v>
      </c>
      <c r="I11" s="456">
        <v>15</v>
      </c>
      <c r="J11" s="456">
        <v>20</v>
      </c>
      <c r="K11" s="456">
        <v>25</v>
      </c>
      <c r="L11" s="456">
        <v>30</v>
      </c>
      <c r="M11" s="456">
        <v>35</v>
      </c>
      <c r="N11" s="456">
        <v>40</v>
      </c>
      <c r="O11" s="456">
        <v>45</v>
      </c>
      <c r="P11" s="456">
        <v>50</v>
      </c>
      <c r="Q11" s="456">
        <v>55</v>
      </c>
      <c r="R11" s="456">
        <v>60</v>
      </c>
      <c r="S11" s="456">
        <v>65</v>
      </c>
      <c r="T11" s="456">
        <v>70</v>
      </c>
      <c r="U11" s="456">
        <v>75</v>
      </c>
      <c r="V11" s="456">
        <v>80</v>
      </c>
      <c r="W11" s="456">
        <v>85</v>
      </c>
      <c r="X11" s="456">
        <v>90</v>
      </c>
      <c r="Y11" s="456">
        <v>95</v>
      </c>
      <c r="Z11" s="456">
        <v>100</v>
      </c>
      <c r="AA11" s="456">
        <v>105</v>
      </c>
      <c r="AB11" s="456">
        <v>110</v>
      </c>
      <c r="AC11" s="456">
        <v>115</v>
      </c>
      <c r="AD11" s="456">
        <v>120</v>
      </c>
      <c r="AE11" s="456">
        <v>125</v>
      </c>
      <c r="AF11" s="456">
        <v>130</v>
      </c>
      <c r="AG11" s="456">
        <v>135</v>
      </c>
      <c r="AH11" s="456">
        <v>140</v>
      </c>
      <c r="AI11" s="456">
        <v>145</v>
      </c>
      <c r="AJ11" s="456">
        <v>150</v>
      </c>
      <c r="AK11" s="456">
        <v>155</v>
      </c>
      <c r="AL11" s="456">
        <v>160</v>
      </c>
      <c r="AM11" s="456">
        <v>165</v>
      </c>
      <c r="AN11" s="456">
        <v>170</v>
      </c>
      <c r="AO11" s="456">
        <v>175</v>
      </c>
      <c r="AP11" s="456">
        <v>180</v>
      </c>
    </row>
    <row r="12" spans="1:42" ht="22.5" customHeight="1">
      <c r="A12" s="240">
        <v>1</v>
      </c>
      <c r="B12" s="241" t="str">
        <f>'P1'!C2</f>
        <v>Plano de Trabalho</v>
      </c>
      <c r="C12" s="235"/>
      <c r="D12" s="242">
        <f>'P1'!J45</f>
        <v>13406.73</v>
      </c>
      <c r="E12" s="243">
        <f t="shared" ref="E12:E20" si="0">D12/$D$23</f>
        <v>3.1063083681235136E-2</v>
      </c>
      <c r="F12" s="244"/>
      <c r="G12" s="247"/>
      <c r="H12" s="247"/>
      <c r="I12" s="247"/>
      <c r="J12" s="247"/>
      <c r="K12" s="231"/>
      <c r="L12" s="387"/>
      <c r="M12" s="387"/>
      <c r="N12" s="250"/>
      <c r="O12" s="250"/>
      <c r="P12" s="252"/>
      <c r="Q12" s="245"/>
      <c r="R12" s="245"/>
      <c r="S12" s="245"/>
      <c r="T12" s="245"/>
      <c r="U12" s="245"/>
      <c r="V12" s="245"/>
      <c r="W12" s="245"/>
      <c r="X12" s="245"/>
      <c r="Y12" s="245"/>
      <c r="Z12" s="245"/>
      <c r="AA12" s="245"/>
      <c r="AB12" s="245"/>
      <c r="AC12" s="245"/>
      <c r="AD12" s="245"/>
      <c r="AE12" s="245"/>
      <c r="AF12" s="245"/>
      <c r="AG12" s="245"/>
      <c r="AH12" s="245"/>
      <c r="AI12" s="245"/>
      <c r="AJ12" s="245"/>
      <c r="AK12" s="245"/>
      <c r="AL12" s="245"/>
      <c r="AM12" s="245"/>
      <c r="AN12" s="245"/>
      <c r="AO12" s="245"/>
      <c r="AP12" s="245"/>
    </row>
    <row r="13" spans="1:42" ht="22.5" customHeight="1">
      <c r="A13" s="240">
        <v>2</v>
      </c>
      <c r="B13" s="241" t="str">
        <f>'P2'!C2</f>
        <v xml:space="preserve">Cadastro Técnico </v>
      </c>
      <c r="C13" s="235"/>
      <c r="D13" s="242">
        <f>'P2'!J45</f>
        <v>69732.259999999995</v>
      </c>
      <c r="E13" s="243">
        <f t="shared" si="0"/>
        <v>0.16156803543158141</v>
      </c>
      <c r="F13" s="245"/>
      <c r="H13" s="230"/>
      <c r="I13" s="230"/>
      <c r="J13" s="230"/>
      <c r="K13" s="230"/>
      <c r="L13" s="230"/>
      <c r="M13" s="230"/>
      <c r="N13" s="231"/>
      <c r="O13" s="231"/>
      <c r="P13" s="387"/>
      <c r="Q13" s="387"/>
      <c r="R13" s="250"/>
      <c r="S13" s="250"/>
      <c r="T13" s="252"/>
      <c r="U13" s="245"/>
      <c r="V13" s="245"/>
      <c r="W13" s="245"/>
      <c r="X13" s="245"/>
      <c r="Y13" s="245"/>
      <c r="Z13" s="245"/>
      <c r="AA13" s="245"/>
      <c r="AB13" s="245"/>
      <c r="AC13" s="245"/>
      <c r="AD13" s="245"/>
      <c r="AE13" s="245"/>
      <c r="AF13" s="245"/>
      <c r="AG13" s="245"/>
      <c r="AH13" s="245"/>
      <c r="AI13" s="245"/>
      <c r="AJ13" s="245"/>
      <c r="AK13" s="245"/>
      <c r="AL13" s="245"/>
      <c r="AM13" s="245"/>
      <c r="AN13" s="245"/>
      <c r="AO13" s="245"/>
      <c r="AP13" s="245"/>
    </row>
    <row r="14" spans="1:42" ht="22.5" customHeight="1">
      <c r="A14" s="240">
        <v>3</v>
      </c>
      <c r="B14" s="241" t="str">
        <f>'P3'!C2</f>
        <v>Estudos Topográficos</v>
      </c>
      <c r="C14" s="235"/>
      <c r="D14" s="246">
        <f>'P3'!J45</f>
        <v>39581.64</v>
      </c>
      <c r="E14" s="243">
        <f t="shared" si="0"/>
        <v>9.1709745445796548E-2</v>
      </c>
      <c r="F14" s="245"/>
      <c r="G14" s="530"/>
      <c r="J14" s="230"/>
      <c r="K14" s="230"/>
      <c r="L14" s="230"/>
      <c r="M14" s="231"/>
      <c r="N14" s="231"/>
      <c r="O14" s="231"/>
      <c r="P14" s="231"/>
      <c r="Q14" s="231"/>
      <c r="R14" s="231"/>
      <c r="S14" s="523"/>
      <c r="T14" s="523"/>
      <c r="U14" s="524"/>
      <c r="V14" s="524"/>
      <c r="W14" s="525"/>
      <c r="X14" s="245"/>
      <c r="Y14" s="245"/>
      <c r="Z14" s="245"/>
      <c r="AA14" s="245"/>
      <c r="AB14" s="245"/>
      <c r="AC14" s="245"/>
      <c r="AD14" s="245"/>
      <c r="AE14" s="245"/>
      <c r="AF14" s="245"/>
      <c r="AG14" s="245"/>
      <c r="AH14" s="245"/>
      <c r="AI14" s="245"/>
      <c r="AJ14" s="245"/>
      <c r="AK14" s="245"/>
      <c r="AL14" s="245"/>
      <c r="AM14" s="245"/>
      <c r="AN14" s="245"/>
      <c r="AO14" s="245"/>
      <c r="AP14" s="245"/>
    </row>
    <row r="15" spans="1:42" ht="22.5" customHeight="1">
      <c r="A15" s="240">
        <v>4</v>
      </c>
      <c r="B15" s="241" t="str">
        <f>'P4'!C2</f>
        <v>Estudo de Concepção</v>
      </c>
      <c r="C15" s="235"/>
      <c r="D15" s="242">
        <f>'P4'!J45</f>
        <v>42549.11</v>
      </c>
      <c r="E15" s="243">
        <f t="shared" si="0"/>
        <v>9.8585304879868454E-2</v>
      </c>
      <c r="F15" s="245"/>
      <c r="G15" s="245"/>
      <c r="H15" s="245"/>
      <c r="K15" s="230"/>
      <c r="L15" s="230"/>
      <c r="M15" s="230"/>
      <c r="N15" s="230"/>
      <c r="O15" s="230"/>
      <c r="P15" s="230"/>
      <c r="Q15" s="230"/>
      <c r="R15" s="230"/>
      <c r="S15" s="230"/>
      <c r="T15" s="231"/>
      <c r="U15" s="231"/>
      <c r="V15" s="526"/>
      <c r="W15" s="526"/>
      <c r="X15" s="527"/>
      <c r="Y15" s="527"/>
      <c r="Z15" s="252"/>
      <c r="AA15" s="245"/>
      <c r="AB15" s="245"/>
      <c r="AC15" s="245"/>
      <c r="AD15" s="245"/>
      <c r="AE15" s="245"/>
      <c r="AF15" s="245"/>
      <c r="AG15" s="245"/>
      <c r="AH15" s="245"/>
      <c r="AI15" s="245"/>
      <c r="AJ15" s="245"/>
      <c r="AK15" s="245"/>
      <c r="AL15" s="245"/>
      <c r="AM15" s="245"/>
      <c r="AN15" s="245"/>
      <c r="AO15" s="245"/>
      <c r="AP15" s="245"/>
    </row>
    <row r="16" spans="1:42" ht="22.5" customHeight="1">
      <c r="A16" s="240" t="s">
        <v>711</v>
      </c>
      <c r="B16" s="241" t="str">
        <f>P7a!C2</f>
        <v>Estudos Ambientais Preliminares</v>
      </c>
      <c r="C16" s="235"/>
      <c r="D16" s="246">
        <f>P7a!J45</f>
        <v>13830.9</v>
      </c>
      <c r="E16" s="243">
        <f t="shared" si="0"/>
        <v>3.2045875771854512E-2</v>
      </c>
      <c r="F16" s="245"/>
      <c r="G16" s="245"/>
      <c r="H16" s="245"/>
      <c r="L16" s="230"/>
      <c r="M16" s="230"/>
      <c r="N16" s="230"/>
      <c r="O16" s="230"/>
      <c r="P16" s="230"/>
      <c r="Q16" s="230"/>
      <c r="R16" s="230"/>
      <c r="S16" s="230"/>
      <c r="T16" s="230"/>
      <c r="U16" s="230"/>
      <c r="V16" s="231"/>
      <c r="W16" s="231"/>
      <c r="X16" s="387"/>
      <c r="Y16" s="387"/>
      <c r="Z16" s="250"/>
      <c r="AA16" s="250"/>
      <c r="AB16" s="525"/>
      <c r="AC16" s="245"/>
      <c r="AD16" s="245"/>
      <c r="AE16" s="245"/>
      <c r="AF16" s="245"/>
      <c r="AG16" s="245"/>
      <c r="AH16" s="245"/>
      <c r="AI16" s="245"/>
      <c r="AJ16" s="245"/>
      <c r="AK16" s="245"/>
      <c r="AL16" s="245"/>
      <c r="AM16" s="245"/>
      <c r="AN16" s="245"/>
      <c r="AO16" s="245"/>
      <c r="AP16" s="245"/>
    </row>
    <row r="17" spans="1:42" ht="22.5" customHeight="1">
      <c r="A17" s="240">
        <v>5</v>
      </c>
      <c r="B17" s="241" t="str">
        <f>'P5'!C2</f>
        <v>Projeto Básico</v>
      </c>
      <c r="C17" s="235"/>
      <c r="D17" s="246">
        <f>'P5'!J45</f>
        <v>93103.16</v>
      </c>
      <c r="E17" s="243">
        <f t="shared" si="0"/>
        <v>0.21571787080573893</v>
      </c>
      <c r="F17" s="245"/>
      <c r="G17" s="245"/>
      <c r="H17" s="245"/>
      <c r="I17" s="245"/>
      <c r="J17" s="245"/>
      <c r="K17" s="245"/>
      <c r="N17" s="230"/>
      <c r="O17" s="230"/>
      <c r="P17" s="230"/>
      <c r="Q17" s="230"/>
      <c r="R17" s="230"/>
      <c r="S17" s="230"/>
      <c r="T17" s="230"/>
      <c r="U17" s="230"/>
      <c r="V17" s="230"/>
      <c r="W17" s="230"/>
      <c r="X17" s="231"/>
      <c r="Y17" s="231"/>
      <c r="Z17" s="387"/>
      <c r="AA17" s="523"/>
      <c r="AB17" s="524"/>
      <c r="AC17" s="524"/>
      <c r="AD17" s="528"/>
      <c r="AE17" s="245"/>
      <c r="AF17" s="245"/>
      <c r="AG17" s="245"/>
      <c r="AH17" s="245"/>
      <c r="AI17" s="245"/>
      <c r="AJ17" s="245"/>
      <c r="AK17" s="245"/>
      <c r="AL17" s="245"/>
      <c r="AM17" s="245"/>
      <c r="AN17" s="245"/>
      <c r="AO17" s="245"/>
      <c r="AP17" s="245"/>
    </row>
    <row r="18" spans="1:42" ht="22.5" customHeight="1">
      <c r="A18" s="240">
        <v>6</v>
      </c>
      <c r="B18" s="241" t="str">
        <f>'P6'!C2</f>
        <v>Estudos Geotécnicos</v>
      </c>
      <c r="C18" s="235"/>
      <c r="D18" s="246">
        <f>'P6'!J45</f>
        <v>42054.55</v>
      </c>
      <c r="E18" s="243">
        <f t="shared" si="0"/>
        <v>9.7439420785432926E-2</v>
      </c>
      <c r="F18" s="245"/>
      <c r="G18" s="245"/>
      <c r="H18" s="245"/>
      <c r="I18" s="245"/>
      <c r="J18" s="245"/>
      <c r="K18" s="245"/>
      <c r="L18" s="245"/>
      <c r="M18" s="245"/>
      <c r="N18" s="245"/>
      <c r="O18" s="245"/>
      <c r="P18" s="245"/>
      <c r="S18" s="230"/>
      <c r="T18" s="230"/>
      <c r="U18" s="230"/>
      <c r="V18" s="230"/>
      <c r="W18" s="230"/>
      <c r="X18" s="230"/>
      <c r="Y18" s="230"/>
      <c r="Z18" s="230"/>
      <c r="AA18" s="230"/>
      <c r="AB18" s="230"/>
      <c r="AC18" s="231"/>
      <c r="AD18" s="523"/>
      <c r="AE18" s="524"/>
      <c r="AF18" s="525"/>
      <c r="AG18" s="245"/>
      <c r="AH18" s="245"/>
      <c r="AI18" s="245"/>
      <c r="AJ18" s="245"/>
      <c r="AK18" s="245"/>
      <c r="AL18" s="245"/>
      <c r="AM18" s="245"/>
      <c r="AN18" s="245"/>
      <c r="AO18" s="245"/>
      <c r="AP18" s="245"/>
    </row>
    <row r="19" spans="1:42" ht="22.5" customHeight="1">
      <c r="A19" s="240" t="s">
        <v>712</v>
      </c>
      <c r="B19" s="241" t="str">
        <f>P7b!C2</f>
        <v>Estudos Ambientais Consolidados</v>
      </c>
      <c r="C19" s="235"/>
      <c r="D19" s="246">
        <f>P7b!J45</f>
        <v>28319.33</v>
      </c>
      <c r="E19" s="243">
        <f t="shared" si="0"/>
        <v>6.5615233363132755E-2</v>
      </c>
      <c r="F19" s="245"/>
      <c r="G19" s="245"/>
      <c r="H19" s="245"/>
      <c r="I19" s="245"/>
      <c r="J19" s="245"/>
      <c r="K19" s="245"/>
      <c r="L19" s="245"/>
      <c r="M19" s="245"/>
      <c r="N19" s="245"/>
      <c r="O19" s="245"/>
      <c r="P19" s="245"/>
      <c r="U19" s="230"/>
      <c r="V19" s="230"/>
      <c r="W19" s="230"/>
      <c r="X19" s="230"/>
      <c r="Y19" s="230"/>
      <c r="Z19" s="230"/>
      <c r="AA19" s="230"/>
      <c r="AB19" s="230"/>
      <c r="AC19" s="230"/>
      <c r="AD19" s="230"/>
      <c r="AE19" s="231"/>
      <c r="AF19" s="387"/>
      <c r="AG19" s="250"/>
      <c r="AH19" s="528"/>
      <c r="AI19" s="245"/>
      <c r="AJ19" s="245"/>
      <c r="AK19" s="245"/>
      <c r="AL19" s="245"/>
      <c r="AM19" s="245"/>
      <c r="AN19" s="245"/>
      <c r="AO19" s="245"/>
      <c r="AP19" s="245"/>
    </row>
    <row r="20" spans="1:42" ht="22.5" customHeight="1">
      <c r="A20" s="240">
        <v>8</v>
      </c>
      <c r="B20" s="241" t="str">
        <f>'P8'!C2</f>
        <v>Projeto Executivo</v>
      </c>
      <c r="C20" s="235"/>
      <c r="D20" s="242">
        <f>'P8'!J45</f>
        <v>89019.199999999997</v>
      </c>
      <c r="E20" s="243">
        <f t="shared" si="0"/>
        <v>0.20625542983535933</v>
      </c>
      <c r="F20" s="245"/>
      <c r="G20" s="245"/>
      <c r="H20" s="245"/>
      <c r="I20" s="245"/>
      <c r="J20" s="245"/>
      <c r="K20" s="245"/>
      <c r="L20" s="245"/>
      <c r="M20" s="245"/>
      <c r="N20" s="245"/>
      <c r="O20" s="245"/>
      <c r="P20" s="245"/>
      <c r="Q20" s="245"/>
      <c r="R20" s="245"/>
      <c r="S20" s="245"/>
      <c r="T20" s="671"/>
      <c r="U20" s="671"/>
      <c r="V20" s="671"/>
      <c r="W20" s="671"/>
      <c r="X20" s="671"/>
      <c r="Y20" s="230"/>
      <c r="Z20" s="230"/>
      <c r="AA20" s="230"/>
      <c r="AB20" s="230"/>
      <c r="AC20" s="230"/>
      <c r="AD20" s="230"/>
      <c r="AE20" s="230"/>
      <c r="AF20" s="230"/>
      <c r="AG20" s="230"/>
      <c r="AH20" s="230"/>
      <c r="AI20" s="230"/>
      <c r="AJ20" s="529"/>
      <c r="AK20" s="523"/>
      <c r="AL20" s="524"/>
      <c r="AM20" s="528"/>
      <c r="AN20" s="245"/>
      <c r="AO20" s="245"/>
      <c r="AP20" s="245"/>
    </row>
    <row r="21" spans="1:42" ht="22.5" customHeight="1">
      <c r="A21" s="240" t="s">
        <v>376</v>
      </c>
      <c r="B21" s="241" t="s">
        <v>713</v>
      </c>
      <c r="C21" s="235"/>
      <c r="D21" s="242" t="s">
        <v>376</v>
      </c>
      <c r="E21" s="243" t="s">
        <v>376</v>
      </c>
      <c r="F21" s="245"/>
      <c r="G21" s="245"/>
      <c r="H21" s="245"/>
      <c r="I21" s="245"/>
      <c r="J21" s="245"/>
      <c r="K21" s="245"/>
      <c r="L21" s="245"/>
      <c r="M21" s="245"/>
      <c r="N21" s="245"/>
      <c r="O21" s="245"/>
      <c r="P21" s="245"/>
      <c r="Q21" s="245"/>
      <c r="R21" s="245"/>
      <c r="S21" s="245"/>
      <c r="T21" s="245"/>
      <c r="U21" s="245"/>
      <c r="V21" s="245"/>
      <c r="W21" s="245"/>
      <c r="X21" s="245"/>
      <c r="Y21" s="245"/>
      <c r="Z21" s="245"/>
      <c r="AA21" s="245"/>
      <c r="AB21" s="245"/>
      <c r="AC21" s="245"/>
      <c r="AD21" s="245"/>
      <c r="AE21" s="245"/>
      <c r="AF21" s="245"/>
      <c r="AG21" s="245"/>
      <c r="AH21" s="245"/>
      <c r="AI21" s="245"/>
      <c r="AJ21" s="245"/>
      <c r="AK21" s="245"/>
      <c r="AL21" s="245"/>
      <c r="AM21" s="245"/>
      <c r="AN21" s="464"/>
      <c r="AO21" s="464"/>
      <c r="AP21" s="464"/>
    </row>
    <row r="22" spans="1:42" ht="6.6" customHeight="1">
      <c r="A22" s="239"/>
      <c r="B22" s="239"/>
      <c r="C22" s="239"/>
      <c r="D22" s="239"/>
      <c r="E22" s="239"/>
      <c r="F22" s="239"/>
      <c r="G22" s="239"/>
      <c r="H22" s="239"/>
      <c r="I22" s="239"/>
      <c r="J22" s="239"/>
      <c r="K22" s="239"/>
      <c r="L22" s="239"/>
      <c r="M22" s="239"/>
      <c r="N22" s="239"/>
      <c r="O22" s="239"/>
      <c r="P22" s="239"/>
      <c r="Q22" s="239"/>
      <c r="R22" s="239"/>
    </row>
    <row r="23" spans="1:42" ht="22.15" customHeight="1">
      <c r="A23" s="794" t="s">
        <v>115</v>
      </c>
      <c r="B23" s="794"/>
      <c r="C23" s="794"/>
      <c r="D23" s="370">
        <f>SUM(D12:D22)</f>
        <v>431596.88</v>
      </c>
      <c r="E23" s="371">
        <f>ROUND(SUM(E12:E22),2)</f>
        <v>1</v>
      </c>
      <c r="F23" s="797"/>
      <c r="G23" s="797"/>
      <c r="H23" s="797"/>
      <c r="I23" s="797"/>
      <c r="J23" s="797"/>
      <c r="K23" s="797"/>
      <c r="L23" s="797"/>
      <c r="M23" s="797"/>
      <c r="N23" s="797"/>
      <c r="O23" s="797"/>
      <c r="P23" s="797"/>
      <c r="Q23" s="797"/>
      <c r="R23" s="797"/>
      <c r="S23" s="797"/>
      <c r="T23" s="797"/>
      <c r="U23" s="797"/>
      <c r="V23" s="797"/>
      <c r="W23" s="797"/>
      <c r="X23" s="797"/>
      <c r="Y23" s="797"/>
      <c r="Z23" s="797"/>
      <c r="AA23" s="797"/>
      <c r="AB23" s="797"/>
      <c r="AC23" s="797"/>
      <c r="AD23" s="797"/>
      <c r="AE23" s="797"/>
      <c r="AF23" s="797"/>
      <c r="AG23" s="797"/>
      <c r="AH23" s="797"/>
      <c r="AI23" s="797"/>
      <c r="AJ23" s="797"/>
      <c r="AK23" s="797"/>
      <c r="AL23" s="797"/>
      <c r="AM23" s="797"/>
      <c r="AN23" s="797"/>
      <c r="AO23" s="797"/>
      <c r="AP23" s="797"/>
    </row>
    <row r="24" spans="1:42" ht="7.1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</row>
    <row r="25" spans="1:42" s="42" customFormat="1" ht="22.15" customHeight="1">
      <c r="A25" s="56" t="s">
        <v>150</v>
      </c>
      <c r="B25" s="77"/>
      <c r="C25" s="77"/>
      <c r="D25" s="190"/>
      <c r="E25" s="77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77"/>
      <c r="X25"/>
    </row>
    <row r="26" spans="1:42" ht="22.5" customHeight="1">
      <c r="A26" s="188"/>
      <c r="B26" s="248"/>
      <c r="C26" s="77" t="s">
        <v>714</v>
      </c>
      <c r="D26" s="190"/>
      <c r="E26" s="77"/>
      <c r="G26" s="250"/>
      <c r="H26" s="250"/>
      <c r="I26" s="77" t="s">
        <v>715</v>
      </c>
    </row>
    <row r="27" spans="1:42" ht="22.5" customHeight="1">
      <c r="A27" s="77"/>
      <c r="B27" s="249"/>
      <c r="C27" s="77" t="s">
        <v>716</v>
      </c>
      <c r="D27" s="190"/>
      <c r="E27" s="77"/>
      <c r="G27" s="252"/>
      <c r="H27" s="252"/>
      <c r="I27" s="77" t="s">
        <v>717</v>
      </c>
    </row>
    <row r="28" spans="1:42" ht="22.5" customHeight="1">
      <c r="A28" s="77"/>
      <c r="B28" s="251"/>
      <c r="C28" s="77" t="s">
        <v>718</v>
      </c>
      <c r="D28" s="190"/>
      <c r="E28" s="77"/>
      <c r="G28" s="464"/>
      <c r="H28" s="464"/>
      <c r="I28" s="77" t="s">
        <v>719</v>
      </c>
    </row>
    <row r="29" spans="1:42" ht="22.5" customHeight="1">
      <c r="B29" s="387"/>
      <c r="C29" s="190" t="s">
        <v>720</v>
      </c>
      <c r="D29" s="190"/>
      <c r="E29" s="77"/>
      <c r="G29" s="77"/>
      <c r="H29" s="77"/>
      <c r="I29" s="77"/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</row>
    <row r="30" spans="1:42" ht="22.15" customHeight="1">
      <c r="A30" s="77"/>
      <c r="B30" s="77"/>
      <c r="C30" s="77"/>
      <c r="D30" s="190"/>
      <c r="E30" s="77"/>
      <c r="F30" s="188"/>
      <c r="G30" s="188"/>
      <c r="H30" s="77"/>
      <c r="I30" s="77"/>
      <c r="J30" s="77"/>
      <c r="K30" s="77"/>
      <c r="L30" s="77"/>
      <c r="M30" s="53"/>
      <c r="N30" s="53"/>
      <c r="O30" s="53"/>
      <c r="P30" s="53"/>
      <c r="Q30" s="53"/>
      <c r="R30" s="53"/>
    </row>
    <row r="31" spans="1:42">
      <c r="A31" s="457"/>
      <c r="B31" s="457"/>
      <c r="C31" s="458"/>
      <c r="D31" s="458"/>
      <c r="E31" s="457"/>
      <c r="F31" s="458"/>
      <c r="G31" s="458"/>
      <c r="H31" s="458"/>
      <c r="K31" s="458"/>
      <c r="L31" s="458"/>
      <c r="P31" s="458"/>
      <c r="S31" s="436"/>
      <c r="T31" s="436"/>
      <c r="U31" s="436"/>
      <c r="V31" s="436"/>
      <c r="W31" s="436"/>
      <c r="X31" s="436"/>
      <c r="Y31" s="436"/>
      <c r="Z31" s="436"/>
      <c r="AA31" s="436"/>
      <c r="AB31" s="436"/>
      <c r="AC31" s="436"/>
    </row>
    <row r="32" spans="1:42">
      <c r="G32" s="79"/>
      <c r="H32" s="786"/>
      <c r="I32" s="786"/>
      <c r="J32" s="786"/>
      <c r="K32" s="786"/>
      <c r="L32" s="786"/>
      <c r="M32" s="786"/>
      <c r="N32" s="786"/>
      <c r="O32" s="786"/>
      <c r="P32" s="786"/>
      <c r="Q32" s="786"/>
      <c r="R32" s="786"/>
      <c r="S32" s="786"/>
      <c r="T32" s="786"/>
    </row>
    <row r="33" spans="1:20">
      <c r="G33" s="79"/>
      <c r="H33" s="786"/>
      <c r="I33" s="786"/>
      <c r="J33" s="786"/>
      <c r="K33" s="786"/>
      <c r="L33" s="786"/>
      <c r="M33" s="786"/>
      <c r="N33" s="786"/>
      <c r="O33" s="786"/>
      <c r="P33" s="786"/>
      <c r="Q33" s="786"/>
      <c r="R33" s="786"/>
      <c r="S33" s="786"/>
      <c r="T33" s="786"/>
    </row>
    <row r="34" spans="1:20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</row>
  </sheetData>
  <mergeCells count="18">
    <mergeCell ref="A1:AJ2"/>
    <mergeCell ref="H33:T33"/>
    <mergeCell ref="H32:T32"/>
    <mergeCell ref="C7:R7"/>
    <mergeCell ref="A9:A11"/>
    <mergeCell ref="B9:C11"/>
    <mergeCell ref="D9:D10"/>
    <mergeCell ref="A23:C23"/>
    <mergeCell ref="AE10:AJ10"/>
    <mergeCell ref="E9:E10"/>
    <mergeCell ref="G10:L10"/>
    <mergeCell ref="M10:R10"/>
    <mergeCell ref="S10:X10"/>
    <mergeCell ref="AK10:AP10"/>
    <mergeCell ref="A8:AP8"/>
    <mergeCell ref="F9:AP9"/>
    <mergeCell ref="F23:AP23"/>
    <mergeCell ref="Y10:AD10"/>
  </mergeCells>
  <printOptions horizontalCentered="1"/>
  <pageMargins left="0.51181102362204722" right="0.51181102362204722" top="0.43307086614173229" bottom="0.78740157480314965" header="0.31496062992125984" footer="0.31496062992125984"/>
  <pageSetup paperSize="9" scale="84" orientation="landscape" horizontalDpi="4294967294" verticalDpi="4294967294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3A0AECF16DCE43814DAC9BA31E4679" ma:contentTypeVersion="23" ma:contentTypeDescription="Crie um novo documento." ma:contentTypeScope="" ma:versionID="b450eb6a145e113c762695bbce12477a">
  <xsd:schema xmlns:xsd="http://www.w3.org/2001/XMLSchema" xmlns:xs="http://www.w3.org/2001/XMLSchema" xmlns:p="http://schemas.microsoft.com/office/2006/metadata/properties" xmlns:ns2="f713f894-8e5f-49bb-aba3-bc5acb6c15a1" xmlns:ns3="2654f1fe-3808-4788-a1c9-5f0b422ba0d6" targetNamespace="http://schemas.microsoft.com/office/2006/metadata/properties" ma:root="true" ma:fieldsID="13d36181ea366cf2c6cf1edfb9231340" ns2:_="" ns3:_="">
    <xsd:import namespace="f713f894-8e5f-49bb-aba3-bc5acb6c15a1"/>
    <xsd:import namespace="2654f1fe-3808-4788-a1c9-5f0b422ba0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GPS20_x002d_04" minOccurs="0"/>
                <xsd:element ref="ns2:_x0020__x0020__x0020__x0020_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Data_x002f_hora" minOccurs="0"/>
                <xsd:element ref="ns2:Edils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13f894-8e5f-49bb-aba3-bc5acb6c15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37a9c149-240b-4054-b6f2-0d1c435622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GPS20_x002d_04" ma:index="24" nillable="true" ma:displayName="GPS 20-04" ma:format="Dropdown" ma:internalName="GPS20_x002d_04">
      <xsd:simpleType>
        <xsd:restriction base="dms:Text">
          <xsd:maxLength value="255"/>
        </xsd:restriction>
      </xsd:simpleType>
    </xsd:element>
    <xsd:element name="_x0020__x0020__x0020__x0020_" ma:index="25" nillable="true" ma:displayName="    " ma:format="Dropdown" ma:internalName="_x0020__x0020__x0020__x0020_">
      <xsd:simpleType>
        <xsd:restriction base="dms:Text">
          <xsd:maxLength value="255"/>
        </xsd:restriction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7" nillable="true" ma:displayName="Status de liberação" ma:internalName="Status_x0020_de_x0020_libera_x00e7__x00e3_o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a_x002f_hora" ma:index="29" nillable="true" ma:displayName="Data/hora" ma:format="DateTime" ma:internalName="Data_x002f_hora">
      <xsd:simpleType>
        <xsd:restriction base="dms:DateTime"/>
      </xsd:simpleType>
    </xsd:element>
    <xsd:element name="Edilson" ma:index="30" nillable="true" ma:displayName="Edilson" ma:format="Dropdown" ma:list="UserInfo" ma:SharePointGroup="0" ma:internalName="Edil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4f1fe-3808-4788-a1c9-5f0b422ba0d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401889a-5795-441c-8727-ad37507fe82d}" ma:internalName="TaxCatchAll" ma:showField="CatchAllData" ma:web="2654f1fe-3808-4788-a1c9-5f0b422ba0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713f894-8e5f-49bb-aba3-bc5acb6c15a1">
      <Terms xmlns="http://schemas.microsoft.com/office/infopath/2007/PartnerControls"/>
    </lcf76f155ced4ddcb4097134ff3c332f>
    <TaxCatchAll xmlns="2654f1fe-3808-4788-a1c9-5f0b422ba0d6" xsi:nil="true"/>
    <GPS20_x002d_04 xmlns="f713f894-8e5f-49bb-aba3-bc5acb6c15a1" xsi:nil="true"/>
    <_x0020__x0020__x0020__x0020_ xmlns="f713f894-8e5f-49bb-aba3-bc5acb6c15a1" xsi:nil="true"/>
    <_Flow_SignoffStatus xmlns="f713f894-8e5f-49bb-aba3-bc5acb6c15a1" xsi:nil="true"/>
    <Data_x002f_hora xmlns="f713f894-8e5f-49bb-aba3-bc5acb6c15a1" xsi:nil="true"/>
    <Edilson xmlns="f713f894-8e5f-49bb-aba3-bc5acb6c15a1">
      <UserInfo>
        <DisplayName/>
        <AccountId xsi:nil="true"/>
        <AccountType/>
      </UserInfo>
    </Edilson>
  </documentManagement>
</p:properties>
</file>

<file path=customXml/itemProps1.xml><?xml version="1.0" encoding="utf-8"?>
<ds:datastoreItem xmlns:ds="http://schemas.openxmlformats.org/officeDocument/2006/customXml" ds:itemID="{9E8399D0-9FF4-4B08-A740-5781573A5F30}"/>
</file>

<file path=customXml/itemProps2.xml><?xml version="1.0" encoding="utf-8"?>
<ds:datastoreItem xmlns:ds="http://schemas.openxmlformats.org/officeDocument/2006/customXml" ds:itemID="{29E5A650-CEE2-4C0B-8989-ED55AFB9C01A}"/>
</file>

<file path=customXml/itemProps3.xml><?xml version="1.0" encoding="utf-8"?>
<ds:datastoreItem xmlns:ds="http://schemas.openxmlformats.org/officeDocument/2006/customXml" ds:itemID="{B0FA088B-4D10-4E29-911A-9BA755FD0F16}"/>
</file>

<file path=docMetadata/LabelInfo.xml><?xml version="1.0" encoding="utf-8"?>
<clbl:labelList xmlns:clbl="http://schemas.microsoft.com/office/2020/mipLabelMetadata">
  <clbl:label id="{c135c4ba-2280-41f8-be7d-6f21d368baa3}" enabled="1" method="Standard" siteId="{24139d14-c62c-4c47-8bdd-ce71ea1d50c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Serenco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Caroline</dc:creator>
  <cp:keywords/>
  <dc:description/>
  <cp:lastModifiedBy>Raíssa Vitória Nailde da Silva</cp:lastModifiedBy>
  <cp:revision/>
  <dcterms:created xsi:type="dcterms:W3CDTF">2009-02-03T12:18:48Z</dcterms:created>
  <dcterms:modified xsi:type="dcterms:W3CDTF">2026-05-28T13:27:15Z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0x010100E13A0AECF16DCE43814DAC9BA31E4679</vt:lpwstr>
  </property>
  <property fmtid="{D5CDD505-2E9C-101B-9397-08002B2CF9AE}" pid="3" name="MediaServiceImageTags">
    <vt:lpwstr/>
  </property>
</Properties>
</file>